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dmin\OneDrive - Equestrian SA\Documents\Website Uploads\Interschool\2025 High Points\"/>
    </mc:Choice>
  </mc:AlternateContent>
  <xr:revisionPtr revIDLastSave="0" documentId="8_{383E0545-6D45-4851-983F-6570F64B2DE7}" xr6:coauthVersionLast="47" xr6:coauthVersionMax="47" xr10:uidLastSave="{00000000-0000-0000-0000-000000000000}"/>
  <bookViews>
    <workbookView xWindow="1800" yWindow="1965" windowWidth="27000" windowHeight="14235" tabRatio="700" xr2:uid="{0F16B1EA-5111-EC46-A069-8E52983B6A76}"/>
  </bookViews>
  <sheets>
    <sheet name="Show Jumping" sheetId="9" r:id="rId1"/>
    <sheet name="Show Horse" sheetId="10" r:id="rId2"/>
    <sheet name="Eventing" sheetId="6" r:id="rId3"/>
    <sheet name="CT" sheetId="2" r:id="rId4"/>
    <sheet name="Dressage" sheetId="3" r:id="rId5"/>
    <sheet name="State Championships" sheetId="11" state="hidden" r:id="rId6"/>
    <sheet name="How to use sheet" sheetId="14" r:id="rId7"/>
    <sheet name="Data Entry" sheetId="16" state="hidden" r:id="rId8"/>
  </sheets>
  <definedNames>
    <definedName name="ClassIDRef">'Data Entry'!$S$2:$S$69</definedName>
    <definedName name="ClassNm">'Data Entry'!$G1:$G1999</definedName>
    <definedName name="ClassNmRef">'Data Entry'!$R$2:$R$69</definedName>
    <definedName name="_xlnm.Print_Area" localSheetId="3">CT!$A$1:$G$140</definedName>
    <definedName name="_xlnm.Print_Area" localSheetId="2">Eventing!$A$1:$G$45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2" l="1"/>
  <c r="G135" i="3"/>
  <c r="F136" i="3"/>
  <c r="F44" i="10"/>
  <c r="F88" i="9"/>
  <c r="F72" i="9"/>
  <c r="F60" i="9"/>
  <c r="F43" i="9"/>
  <c r="F35" i="9"/>
  <c r="F22" i="9"/>
  <c r="F23" i="9"/>
  <c r="F24" i="9"/>
  <c r="F25" i="9"/>
  <c r="F26" i="9"/>
  <c r="F27" i="9"/>
  <c r="F8" i="9"/>
  <c r="F9" i="9"/>
  <c r="F10" i="9"/>
  <c r="F11" i="9"/>
  <c r="F12" i="9"/>
  <c r="F13" i="9"/>
  <c r="F7" i="9"/>
  <c r="F14" i="9"/>
  <c r="F15" i="9"/>
  <c r="F16" i="9"/>
  <c r="F8" i="2"/>
  <c r="F9" i="2"/>
  <c r="F10" i="2"/>
  <c r="F11" i="2"/>
  <c r="F12" i="2"/>
  <c r="F13" i="2"/>
  <c r="F14" i="2"/>
  <c r="F15" i="2"/>
  <c r="F16" i="2"/>
  <c r="F17" i="2"/>
  <c r="F18" i="2"/>
  <c r="F19" i="2"/>
  <c r="F20" i="2"/>
  <c r="F7" i="2"/>
  <c r="F39" i="6"/>
  <c r="F40" i="6"/>
  <c r="F101" i="9"/>
  <c r="F102" i="9"/>
  <c r="F103" i="9"/>
  <c r="F104" i="9"/>
  <c r="F105" i="9"/>
  <c r="F100" i="9"/>
  <c r="F87" i="9"/>
  <c r="F89" i="9"/>
  <c r="F90" i="9"/>
  <c r="F91" i="9"/>
  <c r="F92" i="9"/>
  <c r="F93" i="9"/>
  <c r="F86" i="9"/>
  <c r="F61" i="9"/>
  <c r="F62" i="9"/>
  <c r="F63" i="9"/>
  <c r="F64" i="9"/>
  <c r="F73" i="9"/>
  <c r="F74" i="9"/>
  <c r="F75" i="9"/>
  <c r="F76" i="9"/>
  <c r="F77" i="9"/>
  <c r="F78" i="9"/>
  <c r="F79" i="9"/>
  <c r="F80" i="9"/>
  <c r="F71" i="9"/>
  <c r="F44" i="9"/>
  <c r="F45" i="9"/>
  <c r="F46" i="9"/>
  <c r="F47" i="9"/>
  <c r="F48" i="9"/>
  <c r="F49" i="9"/>
  <c r="F50" i="9"/>
  <c r="F51" i="9"/>
  <c r="F52" i="9"/>
  <c r="F53" i="9"/>
  <c r="F54" i="9"/>
  <c r="F21" i="9"/>
  <c r="F56" i="10"/>
  <c r="F57" i="10"/>
  <c r="F58" i="10"/>
  <c r="F59" i="10"/>
  <c r="F60" i="10"/>
  <c r="F61" i="10"/>
  <c r="F62" i="10"/>
  <c r="F63" i="10"/>
  <c r="F55" i="10"/>
  <c r="F42" i="10"/>
  <c r="F43" i="10"/>
  <c r="F41" i="10"/>
  <c r="F45" i="10"/>
  <c r="F28" i="10"/>
  <c r="F29" i="10"/>
  <c r="F30" i="10"/>
  <c r="F9" i="10"/>
  <c r="F10" i="10"/>
  <c r="F27" i="10"/>
  <c r="F8" i="10"/>
  <c r="G94" i="3"/>
  <c r="G49" i="3"/>
  <c r="G32" i="3"/>
  <c r="G20" i="3"/>
  <c r="G12" i="3"/>
  <c r="G23" i="9"/>
  <c r="G22" i="9"/>
  <c r="G9" i="9"/>
  <c r="G127" i="2"/>
  <c r="G107" i="2"/>
  <c r="G100" i="2"/>
  <c r="G96" i="2"/>
  <c r="G94" i="2"/>
  <c r="G93" i="2"/>
  <c r="G88" i="2"/>
  <c r="G86" i="2"/>
  <c r="G15" i="6"/>
  <c r="AF45" i="6"/>
  <c r="G36" i="6"/>
  <c r="G35" i="6"/>
  <c r="G34" i="6"/>
  <c r="G22" i="6"/>
  <c r="AF37" i="6"/>
  <c r="AK33" i="6"/>
  <c r="AF33" i="6"/>
  <c r="AF36" i="6"/>
  <c r="AF40" i="6"/>
  <c r="B40" i="6"/>
  <c r="AF34" i="6"/>
  <c r="AF35" i="6"/>
  <c r="AF13" i="6"/>
  <c r="AF17" i="6"/>
  <c r="AF20" i="6"/>
  <c r="AF25" i="6"/>
  <c r="AF22" i="6"/>
  <c r="AF15" i="6"/>
  <c r="G79" i="2"/>
  <c r="G104" i="3" l="1"/>
  <c r="G63" i="3"/>
  <c r="G33" i="3"/>
  <c r="G28" i="3"/>
  <c r="F135" i="3"/>
  <c r="F134" i="3"/>
  <c r="F133" i="3"/>
  <c r="F132" i="3"/>
  <c r="F131" i="3"/>
  <c r="F130" i="3"/>
  <c r="F124" i="3"/>
  <c r="F123" i="3"/>
  <c r="F122" i="3"/>
  <c r="F121" i="3"/>
  <c r="F120" i="3"/>
  <c r="F119" i="3"/>
  <c r="F118" i="3"/>
  <c r="F117" i="3"/>
  <c r="F116" i="3"/>
  <c r="F115" i="3"/>
  <c r="F114" i="3"/>
  <c r="F113" i="3"/>
  <c r="F108" i="3"/>
  <c r="F107" i="3"/>
  <c r="F106" i="3"/>
  <c r="F105" i="3"/>
  <c r="F104" i="3"/>
  <c r="F103" i="3"/>
  <c r="F102" i="3"/>
  <c r="F101" i="3"/>
  <c r="F100" i="3"/>
  <c r="F99" i="3"/>
  <c r="F98" i="3"/>
  <c r="F97" i="3"/>
  <c r="F96" i="3"/>
  <c r="F95" i="3"/>
  <c r="F94" i="3"/>
  <c r="F93" i="3"/>
  <c r="F92" i="3"/>
  <c r="F82" i="3"/>
  <c r="F87" i="3"/>
  <c r="F86" i="3"/>
  <c r="F85" i="3"/>
  <c r="F84" i="3"/>
  <c r="F83" i="3"/>
  <c r="F81" i="3"/>
  <c r="F80" i="3"/>
  <c r="F79" i="3"/>
  <c r="F78" i="3"/>
  <c r="F77" i="3"/>
  <c r="F76" i="3"/>
  <c r="F75" i="3"/>
  <c r="F74" i="3"/>
  <c r="F73" i="3"/>
  <c r="F72" i="3"/>
  <c r="F52" i="3"/>
  <c r="F53" i="3"/>
  <c r="F45" i="3"/>
  <c r="F68" i="3"/>
  <c r="F67" i="3"/>
  <c r="F66" i="3"/>
  <c r="F65" i="3"/>
  <c r="F64" i="3"/>
  <c r="F63" i="3"/>
  <c r="F62" i="3"/>
  <c r="F61" i="3"/>
  <c r="F60" i="3"/>
  <c r="F59" i="3"/>
  <c r="F58" i="3"/>
  <c r="F57" i="3"/>
  <c r="F56" i="3"/>
  <c r="F55" i="3"/>
  <c r="F54" i="3"/>
  <c r="F51" i="3"/>
  <c r="F50" i="3"/>
  <c r="F49" i="3"/>
  <c r="F48" i="3"/>
  <c r="F47" i="3"/>
  <c r="F46" i="3"/>
  <c r="F44" i="3"/>
  <c r="F43" i="3"/>
  <c r="F42" i="3"/>
  <c r="F37" i="3"/>
  <c r="F36" i="3"/>
  <c r="F35" i="3"/>
  <c r="F34" i="3"/>
  <c r="F33" i="3"/>
  <c r="F32" i="3"/>
  <c r="F31" i="3"/>
  <c r="F30" i="3"/>
  <c r="F29" i="3"/>
  <c r="F28" i="3"/>
  <c r="F27" i="3"/>
  <c r="F16" i="3"/>
  <c r="F8" i="3"/>
  <c r="F9" i="3"/>
  <c r="F10" i="3"/>
  <c r="F11" i="3"/>
  <c r="F12" i="3"/>
  <c r="F13" i="3"/>
  <c r="F14" i="3"/>
  <c r="F15" i="3"/>
  <c r="F17" i="3"/>
  <c r="F18" i="3"/>
  <c r="F19" i="3"/>
  <c r="F20" i="3"/>
  <c r="F22" i="3"/>
  <c r="F23" i="3"/>
  <c r="G72" i="9"/>
  <c r="G63" i="9"/>
  <c r="G48" i="9"/>
  <c r="G24" i="9"/>
  <c r="G13" i="9"/>
  <c r="G8" i="9"/>
  <c r="G121" i="2"/>
  <c r="G91" i="2"/>
  <c r="G77" i="2"/>
  <c r="G67" i="2"/>
  <c r="G45" i="2"/>
  <c r="G31" i="2"/>
  <c r="G17" i="2"/>
  <c r="G7" i="9"/>
  <c r="G27" i="2"/>
  <c r="O45" i="6"/>
  <c r="O38" i="6"/>
  <c r="G25" i="6"/>
  <c r="O22" i="6"/>
  <c r="O18" i="6"/>
  <c r="O15" i="6"/>
  <c r="O13" i="6"/>
  <c r="F111" i="10"/>
  <c r="F110" i="10"/>
  <c r="F109" i="10"/>
  <c r="G90" i="10"/>
  <c r="G73" i="10"/>
  <c r="G72" i="10"/>
  <c r="G62" i="10"/>
  <c r="G44" i="10"/>
  <c r="G118" i="3"/>
  <c r="G117" i="3"/>
  <c r="G99" i="3"/>
  <c r="G86" i="3"/>
  <c r="G79" i="3"/>
  <c r="G58" i="3"/>
  <c r="G55" i="3"/>
  <c r="G52" i="3"/>
  <c r="G51" i="3"/>
  <c r="G14" i="3"/>
  <c r="G11" i="3"/>
  <c r="K34" i="2"/>
  <c r="K33" i="2"/>
  <c r="K31" i="2"/>
  <c r="K30" i="2"/>
  <c r="K29" i="2"/>
  <c r="K20" i="2"/>
  <c r="K16" i="2"/>
  <c r="K13" i="2"/>
  <c r="K12" i="2"/>
  <c r="K10" i="2"/>
  <c r="K9" i="2"/>
  <c r="K7" i="2"/>
  <c r="AU30" i="3"/>
  <c r="AU48" i="3"/>
  <c r="AU51" i="3"/>
  <c r="AU77" i="3"/>
  <c r="AU79" i="3"/>
  <c r="AU116" i="3"/>
  <c r="AU118" i="3"/>
  <c r="AQ118" i="3"/>
  <c r="AQ116" i="3"/>
  <c r="AQ55" i="3"/>
  <c r="AQ51" i="3"/>
  <c r="AQ49" i="3"/>
  <c r="AQ28" i="3"/>
  <c r="G63" i="2"/>
  <c r="K58" i="2"/>
  <c r="K60" i="2"/>
  <c r="K61" i="2"/>
  <c r="K62" i="2"/>
  <c r="K63" i="2"/>
  <c r="K64" i="2"/>
  <c r="K65" i="2"/>
  <c r="K66" i="2"/>
  <c r="K67" i="2"/>
  <c r="K68" i="2"/>
  <c r="K70" i="2"/>
  <c r="K71" i="2"/>
  <c r="K72" i="2"/>
  <c r="K73" i="2"/>
  <c r="K74" i="2"/>
  <c r="K75" i="2"/>
  <c r="K57" i="2"/>
  <c r="G57" i="2"/>
  <c r="G29" i="2"/>
  <c r="G20" i="2"/>
  <c r="G103" i="9"/>
  <c r="G101" i="9"/>
  <c r="G93" i="9"/>
  <c r="G88" i="9"/>
  <c r="G76" i="9"/>
  <c r="G74" i="9"/>
  <c r="G73" i="9"/>
  <c r="BE77" i="9"/>
  <c r="BE76" i="9"/>
  <c r="BE74" i="9"/>
  <c r="BE72" i="9"/>
  <c r="G49" i="9"/>
  <c r="G62" i="9"/>
  <c r="G61" i="9"/>
  <c r="AY73" i="9"/>
  <c r="AY76" i="9"/>
  <c r="AY7" i="9"/>
  <c r="AY8" i="9"/>
  <c r="AY10" i="9"/>
  <c r="AY13" i="9"/>
  <c r="AY22" i="9"/>
  <c r="AY23" i="9"/>
  <c r="AY48" i="9"/>
  <c r="AY49" i="9"/>
  <c r="AY50" i="9"/>
  <c r="AY54" i="9"/>
  <c r="G30" i="3"/>
  <c r="G15" i="3"/>
  <c r="G10" i="3"/>
  <c r="G85" i="10"/>
  <c r="G54" i="9"/>
  <c r="G50" i="9"/>
  <c r="G10" i="9"/>
  <c r="G119" i="3"/>
  <c r="G116" i="3"/>
  <c r="G87" i="3"/>
  <c r="G77" i="3"/>
  <c r="G93" i="3"/>
  <c r="G50" i="3" l="1"/>
  <c r="W10" i="3" l="1"/>
  <c r="G140" i="2"/>
  <c r="G112" i="9"/>
  <c r="G102" i="9"/>
  <c r="G35" i="9"/>
  <c r="AJ64" i="9"/>
  <c r="BE143" i="3"/>
  <c r="BE132" i="3"/>
  <c r="BE133" i="3"/>
  <c r="BE134" i="3"/>
  <c r="BE135" i="3"/>
  <c r="BE131" i="3"/>
  <c r="BE115" i="3"/>
  <c r="BE116" i="3"/>
  <c r="BE117" i="3"/>
  <c r="BE118" i="3"/>
  <c r="BE119" i="3"/>
  <c r="BE120" i="3"/>
  <c r="BE121" i="3"/>
  <c r="BE122" i="3"/>
  <c r="BE123" i="3"/>
  <c r="BE124" i="3"/>
  <c r="BE125" i="3"/>
  <c r="BE126" i="3"/>
  <c r="BE114" i="3"/>
  <c r="BE93" i="3"/>
  <c r="BE94" i="3"/>
  <c r="BE95" i="3"/>
  <c r="BE96" i="3"/>
  <c r="BE97" i="3"/>
  <c r="BE98" i="3"/>
  <c r="BE99" i="3"/>
  <c r="BE100" i="3"/>
  <c r="BE101" i="3"/>
  <c r="BE102" i="3"/>
  <c r="BE103" i="3"/>
  <c r="BE104" i="3"/>
  <c r="BE105" i="3"/>
  <c r="BE92" i="3"/>
  <c r="BE73" i="3"/>
  <c r="BE74" i="3"/>
  <c r="BE75" i="3"/>
  <c r="BE76" i="3"/>
  <c r="BE77" i="3"/>
  <c r="BE78" i="3"/>
  <c r="BE79" i="3"/>
  <c r="BE80" i="3"/>
  <c r="BE81" i="3"/>
  <c r="BE82" i="3"/>
  <c r="BE83" i="3"/>
  <c r="BE84" i="3"/>
  <c r="BE85" i="3"/>
  <c r="BE86" i="3"/>
  <c r="BE87" i="3"/>
  <c r="BE72" i="3"/>
  <c r="BE28" i="3"/>
  <c r="BE29" i="3"/>
  <c r="BE30" i="3"/>
  <c r="BE31" i="3"/>
  <c r="BE32" i="3"/>
  <c r="BE33" i="3"/>
  <c r="BE34" i="3"/>
  <c r="BE35" i="3"/>
  <c r="BE36" i="3"/>
  <c r="BE37"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42" i="3"/>
  <c r="BE27" i="3"/>
  <c r="BE8" i="3"/>
  <c r="BE9" i="3"/>
  <c r="BE10" i="3"/>
  <c r="BE11" i="3"/>
  <c r="BE12" i="3"/>
  <c r="BE13" i="3"/>
  <c r="BE14" i="3"/>
  <c r="BE15" i="3"/>
  <c r="BE16" i="3"/>
  <c r="BE17" i="3"/>
  <c r="BE18" i="3"/>
  <c r="BE19" i="3"/>
  <c r="BE20" i="3"/>
  <c r="BE21" i="3"/>
  <c r="BE22" i="3"/>
  <c r="BE7" i="3"/>
  <c r="F49" i="2"/>
  <c r="F79" i="2"/>
  <c r="F88" i="2"/>
  <c r="F89" i="2"/>
  <c r="F95" i="2"/>
  <c r="F96" i="2"/>
  <c r="F101" i="2"/>
  <c r="F102" i="2"/>
  <c r="F106" i="2"/>
  <c r="F109" i="2"/>
  <c r="F113" i="2"/>
  <c r="F120" i="2"/>
  <c r="F121" i="2"/>
  <c r="F125" i="2"/>
  <c r="F126" i="2"/>
  <c r="F127" i="2"/>
  <c r="F128" i="2"/>
  <c r="F129" i="2"/>
  <c r="F131" i="2"/>
  <c r="F132" i="2"/>
  <c r="F139" i="2"/>
  <c r="F99" i="2"/>
  <c r="F98" i="2"/>
  <c r="F97" i="2"/>
  <c r="F87" i="2"/>
  <c r="AM79" i="2"/>
  <c r="AM48" i="2"/>
  <c r="AM47" i="2"/>
  <c r="AM46" i="2"/>
  <c r="AM45" i="2"/>
  <c r="AM44" i="2"/>
  <c r="AM43" i="2"/>
  <c r="F80" i="2"/>
  <c r="AM144" i="2"/>
  <c r="AM138" i="2"/>
  <c r="AM139" i="2"/>
  <c r="AM140" i="2"/>
  <c r="AM137" i="2"/>
  <c r="AM120" i="2"/>
  <c r="AM121" i="2"/>
  <c r="AM122" i="2"/>
  <c r="AM123" i="2"/>
  <c r="AM124" i="2"/>
  <c r="AM125" i="2"/>
  <c r="AM126" i="2"/>
  <c r="AM127" i="2"/>
  <c r="AM128" i="2"/>
  <c r="AM129" i="2"/>
  <c r="AM130" i="2"/>
  <c r="AM131" i="2"/>
  <c r="AM132" i="2"/>
  <c r="AM119"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85" i="2"/>
  <c r="AM55" i="2"/>
  <c r="AM56" i="2"/>
  <c r="AM57" i="2"/>
  <c r="AM58" i="2"/>
  <c r="AM59" i="2"/>
  <c r="AM60" i="2"/>
  <c r="AM61" i="2"/>
  <c r="AM62" i="2"/>
  <c r="AM63" i="2"/>
  <c r="AM64" i="2"/>
  <c r="AM65" i="2"/>
  <c r="AM66" i="2"/>
  <c r="AM67" i="2"/>
  <c r="AM68" i="2"/>
  <c r="AM69" i="2"/>
  <c r="AM70" i="2"/>
  <c r="AM71" i="2"/>
  <c r="AM72" i="2"/>
  <c r="AM73" i="2"/>
  <c r="AM74" i="2"/>
  <c r="AM75" i="2"/>
  <c r="AM76" i="2"/>
  <c r="AM77" i="2"/>
  <c r="AM78" i="2"/>
  <c r="AM26" i="2"/>
  <c r="AM27" i="2"/>
  <c r="AM28" i="2"/>
  <c r="AM29" i="2"/>
  <c r="AM30" i="2"/>
  <c r="AM31" i="2"/>
  <c r="AM32" i="2"/>
  <c r="AM33" i="2"/>
  <c r="AM34" i="2"/>
  <c r="AM35" i="2"/>
  <c r="AM36" i="2"/>
  <c r="AM37" i="2"/>
  <c r="AM38" i="2"/>
  <c r="AM7" i="2"/>
  <c r="AM8" i="2"/>
  <c r="AM9" i="2"/>
  <c r="AM10" i="2"/>
  <c r="AM11" i="2"/>
  <c r="AM12" i="2"/>
  <c r="AM13" i="2"/>
  <c r="AM14" i="2"/>
  <c r="AM15" i="2"/>
  <c r="AM16" i="2"/>
  <c r="AM17" i="2"/>
  <c r="AM18" i="2"/>
  <c r="AM19" i="2"/>
  <c r="AM20" i="2"/>
  <c r="AM54" i="2"/>
  <c r="AM25" i="2"/>
  <c r="AM6" i="2"/>
  <c r="F106" i="9"/>
  <c r="BG70" i="9"/>
  <c r="BG35" i="9"/>
  <c r="BG34" i="9"/>
  <c r="BG21" i="9"/>
  <c r="BG22" i="9"/>
  <c r="BG23" i="9"/>
  <c r="BG24" i="9"/>
  <c r="BG25" i="9"/>
  <c r="BG26" i="9"/>
  <c r="BG20" i="9"/>
  <c r="BG7" i="9"/>
  <c r="BG8" i="9"/>
  <c r="BG9" i="9"/>
  <c r="BG10" i="9"/>
  <c r="BG11" i="9"/>
  <c r="BG12" i="9"/>
  <c r="BG13" i="9"/>
  <c r="BG6" i="9"/>
  <c r="BG112" i="9"/>
  <c r="BG113" i="9"/>
  <c r="BG111" i="9"/>
  <c r="BG100" i="9"/>
  <c r="BG101" i="9"/>
  <c r="BG102" i="9"/>
  <c r="BG103" i="9"/>
  <c r="BG104" i="9"/>
  <c r="BG99" i="9"/>
  <c r="BG86" i="9"/>
  <c r="BG87" i="9"/>
  <c r="BG88" i="9"/>
  <c r="BG89" i="9"/>
  <c r="BG90" i="9"/>
  <c r="BG91" i="9"/>
  <c r="BG92" i="9"/>
  <c r="BG93" i="9"/>
  <c r="BG94" i="9"/>
  <c r="BG85" i="9"/>
  <c r="BG71" i="9"/>
  <c r="BG72" i="9"/>
  <c r="BG73" i="9"/>
  <c r="BG74" i="9"/>
  <c r="BG75" i="9"/>
  <c r="BG76" i="9"/>
  <c r="BG77" i="9"/>
  <c r="BG78" i="9"/>
  <c r="BG79" i="9"/>
  <c r="BG60" i="9"/>
  <c r="BG61" i="9"/>
  <c r="BG62" i="9"/>
  <c r="BG63" i="9"/>
  <c r="BG64" i="9"/>
  <c r="BG59" i="9"/>
  <c r="BG44" i="9"/>
  <c r="BG45" i="9"/>
  <c r="BG46" i="9"/>
  <c r="BG47" i="9"/>
  <c r="BG48" i="9"/>
  <c r="BG49" i="9"/>
  <c r="BG50" i="9"/>
  <c r="BG51" i="9"/>
  <c r="BG52" i="9"/>
  <c r="BG53" i="9"/>
  <c r="BG54" i="9"/>
  <c r="BG55" i="9"/>
  <c r="BG43" i="9"/>
  <c r="BH98" i="9"/>
  <c r="V123" i="10"/>
  <c r="U123" i="10"/>
  <c r="W123" i="10" s="1" a="1"/>
  <c r="W123" i="10" s="1"/>
  <c r="T123" i="10"/>
  <c r="V121" i="10"/>
  <c r="U121" i="10"/>
  <c r="T121" i="10"/>
  <c r="W121" i="10" s="1" a="1"/>
  <c r="W121" i="10" s="1"/>
  <c r="V108" i="10"/>
  <c r="U108" i="10"/>
  <c r="T108" i="10"/>
  <c r="W108" i="10" s="1" a="1"/>
  <c r="W108" i="10" s="1"/>
  <c r="V110" i="10"/>
  <c r="U110" i="10"/>
  <c r="T110" i="10"/>
  <c r="W110" i="10" s="1" a="1"/>
  <c r="W110" i="10" s="1"/>
  <c r="V111" i="10"/>
  <c r="U111" i="10"/>
  <c r="T111" i="10"/>
  <c r="W111" i="10" s="1" a="1"/>
  <c r="W111" i="10" s="1"/>
  <c r="V109" i="10"/>
  <c r="U109" i="10"/>
  <c r="T109" i="10"/>
  <c r="W109" i="10" s="1" a="1"/>
  <c r="W109" i="10" s="1"/>
  <c r="V99" i="10"/>
  <c r="U99" i="10"/>
  <c r="T99" i="10"/>
  <c r="W99" i="10" s="1" a="1"/>
  <c r="W99" i="10" s="1"/>
  <c r="V107" i="10"/>
  <c r="U107" i="10"/>
  <c r="T107" i="10"/>
  <c r="W107" i="10" s="1" a="1"/>
  <c r="W107" i="10" s="1"/>
  <c r="V91" i="10"/>
  <c r="W91" i="10" s="1" a="1"/>
  <c r="W91" i="10" s="1"/>
  <c r="U91" i="10"/>
  <c r="T91" i="10"/>
  <c r="V87" i="10"/>
  <c r="U87" i="10"/>
  <c r="T87" i="10"/>
  <c r="W87" i="10" s="1" a="1"/>
  <c r="W87" i="10" s="1"/>
  <c r="V92" i="10"/>
  <c r="U92" i="10"/>
  <c r="T92" i="10"/>
  <c r="W92" i="10" s="1" a="1"/>
  <c r="W92" i="10" s="1"/>
  <c r="V85" i="10"/>
  <c r="U85" i="10"/>
  <c r="T85" i="10"/>
  <c r="W85" i="10" s="1" a="1"/>
  <c r="W85" i="10" s="1"/>
  <c r="V74" i="10"/>
  <c r="U74" i="10"/>
  <c r="W74" i="10" s="1" a="1"/>
  <c r="W74" i="10" s="1"/>
  <c r="T74" i="10"/>
  <c r="V73" i="10"/>
  <c r="U73" i="10"/>
  <c r="T73" i="10"/>
  <c r="W73" i="10" s="1" a="1"/>
  <c r="W73" i="10" s="1"/>
  <c r="V72" i="10"/>
  <c r="U72" i="10"/>
  <c r="T72" i="10"/>
  <c r="W72" i="10" s="1" a="1"/>
  <c r="W72" i="10" s="1"/>
  <c r="V62" i="10"/>
  <c r="U62" i="10"/>
  <c r="T62" i="10"/>
  <c r="W62" i="10" s="1" a="1"/>
  <c r="W62" i="10" s="1"/>
  <c r="V57" i="10"/>
  <c r="U57" i="10"/>
  <c r="T57" i="10"/>
  <c r="W57" i="10" s="1" a="1"/>
  <c r="W57" i="10" s="1"/>
  <c r="V55" i="10"/>
  <c r="W55" i="10" s="1" a="1"/>
  <c r="W55" i="10" s="1"/>
  <c r="U55" i="10"/>
  <c r="T55" i="10"/>
  <c r="V44" i="10"/>
  <c r="U44" i="10"/>
  <c r="T44" i="10"/>
  <c r="W44" i="10" s="1" a="1"/>
  <c r="W44" i="10" s="1"/>
  <c r="W42" i="10" a="1"/>
  <c r="W42" i="10" s="1"/>
  <c r="V42" i="10"/>
  <c r="U42" i="10"/>
  <c r="T42" i="10"/>
  <c r="V41" i="10"/>
  <c r="U41" i="10"/>
  <c r="T41" i="10"/>
  <c r="W41" i="10" s="1" a="1"/>
  <c r="W41" i="10" s="1"/>
  <c r="V30" i="10"/>
  <c r="U30" i="10"/>
  <c r="T30" i="10"/>
  <c r="W30" i="10" s="1" a="1"/>
  <c r="W30" i="10" s="1"/>
  <c r="F24" i="6"/>
  <c r="U81" i="9"/>
  <c r="S81" i="9"/>
  <c r="F81" i="9"/>
  <c r="U80" i="9"/>
  <c r="S80" i="9"/>
  <c r="U79" i="9"/>
  <c r="S79" i="9"/>
  <c r="K80" i="2"/>
  <c r="K79" i="2"/>
  <c r="K78" i="2"/>
  <c r="F114" i="2"/>
  <c r="F112" i="2"/>
  <c r="F111" i="2"/>
  <c r="S119" i="9"/>
  <c r="S118" i="9"/>
  <c r="S117" i="9"/>
  <c r="S116" i="9"/>
  <c r="S115" i="9"/>
  <c r="S114" i="9"/>
  <c r="S113" i="9"/>
  <c r="S112" i="9"/>
  <c r="S111" i="9"/>
  <c r="S107" i="9"/>
  <c r="S106" i="9"/>
  <c r="S105" i="9"/>
  <c r="S104" i="9"/>
  <c r="S102" i="9"/>
  <c r="S100" i="9"/>
  <c r="S99" i="9"/>
  <c r="S95" i="9"/>
  <c r="S94" i="9"/>
  <c r="S92" i="9"/>
  <c r="S91" i="9"/>
  <c r="S90" i="9"/>
  <c r="S89" i="9"/>
  <c r="S88" i="9"/>
  <c r="S87" i="9"/>
  <c r="S86" i="9"/>
  <c r="S85" i="9"/>
  <c r="S78" i="9"/>
  <c r="S77" i="9"/>
  <c r="S75" i="9"/>
  <c r="S74" i="9"/>
  <c r="S73" i="9"/>
  <c r="S72" i="9"/>
  <c r="S71" i="9"/>
  <c r="S70" i="9"/>
  <c r="S64" i="9"/>
  <c r="S62" i="9"/>
  <c r="S60" i="9"/>
  <c r="S59" i="9"/>
  <c r="S56" i="9"/>
  <c r="S55" i="9"/>
  <c r="S54" i="9"/>
  <c r="S53" i="9"/>
  <c r="S52" i="9"/>
  <c r="S51" i="9"/>
  <c r="S50" i="9"/>
  <c r="S48" i="9"/>
  <c r="S47" i="9"/>
  <c r="S46" i="9"/>
  <c r="S45" i="9"/>
  <c r="S43" i="9"/>
  <c r="S42" i="9"/>
  <c r="S38" i="9"/>
  <c r="S34" i="9"/>
  <c r="S20" i="9"/>
  <c r="S16" i="9"/>
  <c r="S15" i="9"/>
  <c r="S37" i="9"/>
  <c r="S36" i="9"/>
  <c r="S29" i="9"/>
  <c r="S28" i="9"/>
  <c r="S27" i="9"/>
  <c r="S26" i="9"/>
  <c r="S25" i="9"/>
  <c r="S23" i="9"/>
  <c r="S14" i="9"/>
  <c r="S13" i="9"/>
  <c r="S12" i="9"/>
  <c r="S11" i="9"/>
  <c r="S10" i="9"/>
  <c r="AC45" i="6"/>
  <c r="AC39" i="6"/>
  <c r="AC38" i="6"/>
  <c r="AC37" i="6"/>
  <c r="AC36" i="6"/>
  <c r="AC35" i="6"/>
  <c r="AC34" i="6"/>
  <c r="AC33" i="6"/>
  <c r="AC32" i="6"/>
  <c r="AC26" i="6"/>
  <c r="AC25" i="6"/>
  <c r="AC24" i="6"/>
  <c r="AC23" i="6"/>
  <c r="AC22" i="6"/>
  <c r="AC21" i="6"/>
  <c r="AC20" i="6"/>
  <c r="AC19" i="6"/>
  <c r="AC18" i="6"/>
  <c r="AC17" i="6"/>
  <c r="AC16" i="6"/>
  <c r="AC15" i="6"/>
  <c r="AC14" i="6"/>
  <c r="AC13" i="6"/>
  <c r="M89" i="10"/>
  <c r="M90" i="10"/>
  <c r="S91" i="10"/>
  <c r="S90" i="10"/>
  <c r="S72" i="10"/>
  <c r="S73" i="10"/>
  <c r="M73" i="10"/>
  <c r="M72" i="10"/>
  <c r="S8" i="10"/>
  <c r="S27" i="10"/>
  <c r="S30" i="10"/>
  <c r="S41" i="10"/>
  <c r="S42" i="10"/>
  <c r="S44" i="10"/>
  <c r="S57" i="10"/>
  <c r="S59" i="10"/>
  <c r="M62" i="10"/>
  <c r="M58" i="10"/>
  <c r="M41" i="10"/>
  <c r="M29" i="10"/>
  <c r="M10" i="10"/>
  <c r="M9" i="10"/>
  <c r="Q123" i="10"/>
  <c r="Q122" i="10"/>
  <c r="Q121" i="10"/>
  <c r="Q120" i="10"/>
  <c r="Q119" i="10"/>
  <c r="Q118" i="10"/>
  <c r="Q114" i="10"/>
  <c r="Q107" i="10"/>
  <c r="Q106" i="10"/>
  <c r="Q89" i="10"/>
  <c r="Q88" i="10"/>
  <c r="Q86" i="10"/>
  <c r="Q74" i="10"/>
  <c r="Q71" i="10"/>
  <c r="Q65" i="10"/>
  <c r="Q60" i="10"/>
  <c r="Q61" i="10"/>
  <c r="Q63" i="10"/>
  <c r="Q56" i="10"/>
  <c r="Q62" i="10"/>
  <c r="Q58" i="10"/>
  <c r="Q64" i="10"/>
  <c r="Q55" i="10"/>
  <c r="Q45" i="10"/>
  <c r="Q43" i="10"/>
  <c r="Q11" i="10"/>
  <c r="Q10" i="10"/>
  <c r="U119" i="9"/>
  <c r="U118" i="9"/>
  <c r="U117" i="9"/>
  <c r="U116" i="9"/>
  <c r="U115" i="9"/>
  <c r="U114" i="9"/>
  <c r="U113" i="9"/>
  <c r="U112" i="9"/>
  <c r="U111" i="9"/>
  <c r="U107" i="9"/>
  <c r="U106" i="9"/>
  <c r="U105" i="9"/>
  <c r="U102" i="9"/>
  <c r="U100" i="9"/>
  <c r="U104" i="9"/>
  <c r="U99" i="9"/>
  <c r="U95" i="9"/>
  <c r="U94" i="9"/>
  <c r="U92" i="9"/>
  <c r="U90" i="9"/>
  <c r="U89" i="9"/>
  <c r="U87" i="9"/>
  <c r="U88" i="9"/>
  <c r="U86" i="9"/>
  <c r="U93" i="9"/>
  <c r="U85" i="9"/>
  <c r="U75" i="9"/>
  <c r="U78" i="9"/>
  <c r="U72" i="9"/>
  <c r="U74" i="9"/>
  <c r="U73" i="9"/>
  <c r="U71" i="9"/>
  <c r="U77" i="9"/>
  <c r="U76" i="9"/>
  <c r="U70" i="9"/>
  <c r="U64" i="9"/>
  <c r="U63" i="9"/>
  <c r="U62" i="9"/>
  <c r="U61" i="9"/>
  <c r="U60" i="9"/>
  <c r="U59" i="9"/>
  <c r="AE50" i="6"/>
  <c r="AE49" i="6"/>
  <c r="AE45" i="6"/>
  <c r="AE44" i="6"/>
  <c r="AE39" i="6"/>
  <c r="AE38" i="6"/>
  <c r="AE33" i="6"/>
  <c r="AE34" i="6"/>
  <c r="AE36" i="6"/>
  <c r="AE37" i="6"/>
  <c r="AE32" i="6"/>
  <c r="AE35" i="6"/>
  <c r="AE31" i="6"/>
  <c r="AE27" i="6"/>
  <c r="AE26" i="6"/>
  <c r="AE25" i="6"/>
  <c r="AE23" i="6"/>
  <c r="AE22" i="6"/>
  <c r="AE21" i="6"/>
  <c r="AE20" i="6"/>
  <c r="AE19" i="6"/>
  <c r="AE18" i="6"/>
  <c r="G18" i="6" s="1"/>
  <c r="AE17" i="6"/>
  <c r="AE16" i="6"/>
  <c r="AE15" i="6"/>
  <c r="AE14" i="6"/>
  <c r="AE13" i="6"/>
  <c r="G13" i="6" s="1"/>
  <c r="AE12" i="6"/>
  <c r="AE11" i="6"/>
  <c r="AE10" i="6"/>
  <c r="AE9" i="6"/>
  <c r="AE8" i="6"/>
  <c r="AE7" i="6"/>
  <c r="U50" i="9"/>
  <c r="U47" i="9"/>
  <c r="U52" i="9"/>
  <c r="U55" i="9"/>
  <c r="U53" i="9"/>
  <c r="U49" i="9"/>
  <c r="U45" i="9"/>
  <c r="U48" i="9"/>
  <c r="U54" i="9"/>
  <c r="U51" i="9"/>
  <c r="U46" i="9"/>
  <c r="U44" i="9"/>
  <c r="U43" i="9"/>
  <c r="U38" i="9"/>
  <c r="U37" i="9"/>
  <c r="U36" i="9"/>
  <c r="U35" i="9"/>
  <c r="U34" i="9"/>
  <c r="U16" i="9"/>
  <c r="U15" i="9"/>
  <c r="U14" i="9"/>
  <c r="U8" i="9"/>
  <c r="U13" i="9"/>
  <c r="U9" i="9"/>
  <c r="U12" i="9"/>
  <c r="U10" i="9"/>
  <c r="U11" i="9"/>
  <c r="U29" i="9"/>
  <c r="U28" i="9"/>
  <c r="U27" i="9"/>
  <c r="U21" i="9"/>
  <c r="G21" i="9" s="1"/>
  <c r="U26" i="9"/>
  <c r="U22" i="9"/>
  <c r="U25" i="9"/>
  <c r="U23" i="9"/>
  <c r="U24" i="9"/>
  <c r="C9" i="16"/>
  <c r="D9" i="16" s="1"/>
  <c r="F123" i="10"/>
  <c r="F108" i="10"/>
  <c r="C8" i="16"/>
  <c r="D8" i="16" s="1"/>
  <c r="C7" i="16"/>
  <c r="D7" i="16" s="1"/>
  <c r="C6" i="16"/>
  <c r="D6" i="16" s="1"/>
  <c r="C11" i="16"/>
  <c r="D11" i="16" s="1"/>
  <c r="C10" i="16"/>
  <c r="D10" i="16" s="1"/>
  <c r="B18" i="6"/>
  <c r="C5" i="16"/>
  <c r="D5" i="16" s="1"/>
  <c r="C4" i="16"/>
  <c r="D4" i="16" s="1"/>
  <c r="C3" i="16"/>
  <c r="D3" i="16" s="1"/>
  <c r="C2" i="16"/>
  <c r="D2" i="16" s="1"/>
  <c r="F130" i="2"/>
  <c r="F110" i="2"/>
  <c r="F142" i="3"/>
  <c r="K76" i="2"/>
  <c r="K77" i="2"/>
  <c r="F108" i="2"/>
  <c r="F121" i="10"/>
  <c r="F120" i="10"/>
  <c r="F122" i="10"/>
  <c r="F106" i="10"/>
  <c r="F119" i="10"/>
  <c r="F118" i="10"/>
  <c r="F146" i="2"/>
  <c r="F145" i="2"/>
  <c r="F50" i="6"/>
  <c r="F45" i="6"/>
  <c r="F32" i="6"/>
  <c r="F37" i="6"/>
  <c r="F36" i="6"/>
  <c r="F34" i="6"/>
  <c r="F33" i="6"/>
  <c r="F38" i="6"/>
  <c r="F35" i="6"/>
  <c r="F9" i="6"/>
  <c r="F11" i="6"/>
  <c r="F12" i="6"/>
  <c r="F10" i="6"/>
  <c r="F20" i="6"/>
  <c r="F25" i="6"/>
  <c r="F21" i="6"/>
  <c r="F16" i="6"/>
  <c r="F13" i="6"/>
  <c r="F17" i="6"/>
  <c r="F19" i="6"/>
  <c r="F22" i="6"/>
  <c r="F14" i="6"/>
  <c r="F15" i="6"/>
  <c r="F23" i="6"/>
  <c r="F18" i="6"/>
  <c r="F26" i="6"/>
  <c r="F27" i="6"/>
  <c r="F8" i="6"/>
  <c r="F119" i="9"/>
  <c r="F118" i="9"/>
  <c r="F117" i="9"/>
  <c r="F116" i="9"/>
  <c r="F115" i="9"/>
  <c r="F114" i="9"/>
  <c r="F107" i="10"/>
  <c r="F100" i="10"/>
  <c r="F99" i="10"/>
  <c r="F86" i="10"/>
  <c r="F87" i="10"/>
  <c r="F88" i="10"/>
  <c r="F89" i="10"/>
  <c r="F90" i="10"/>
  <c r="F91" i="10"/>
  <c r="F92" i="10"/>
  <c r="F93" i="10"/>
  <c r="F85" i="10"/>
  <c r="F72" i="10"/>
  <c r="F73" i="10"/>
  <c r="F74" i="10"/>
  <c r="F75" i="10"/>
  <c r="F76" i="10"/>
  <c r="F77" i="10"/>
  <c r="F78" i="10"/>
  <c r="F79" i="10"/>
  <c r="F71" i="10"/>
  <c r="F64" i="10"/>
  <c r="F46" i="10"/>
  <c r="F47" i="10"/>
  <c r="F48" i="10"/>
  <c r="F49" i="10"/>
  <c r="F31" i="10"/>
  <c r="F32" i="10"/>
  <c r="F33" i="10"/>
  <c r="F34" i="10"/>
  <c r="F35" i="10"/>
  <c r="F11" i="10"/>
  <c r="F12" i="10"/>
  <c r="F13" i="10"/>
  <c r="F14" i="10"/>
  <c r="F15" i="10"/>
  <c r="F16" i="10"/>
  <c r="F17" i="10"/>
  <c r="F18" i="10"/>
  <c r="F19" i="10"/>
  <c r="F20" i="10"/>
  <c r="F21" i="10"/>
  <c r="F107" i="9"/>
  <c r="F95" i="9"/>
  <c r="F36" i="9"/>
  <c r="F37" i="9"/>
  <c r="F38" i="9"/>
  <c r="F28" i="9"/>
  <c r="F29" i="9"/>
  <c r="F30" i="9"/>
  <c r="F104" i="2"/>
  <c r="F122" i="2"/>
  <c r="F123" i="2"/>
  <c r="F124" i="2"/>
  <c r="F90" i="2"/>
  <c r="F92" i="2"/>
  <c r="F93" i="2"/>
  <c r="F94" i="2"/>
  <c r="F100" i="2"/>
  <c r="F103" i="2"/>
  <c r="F105" i="2"/>
  <c r="F36" i="2"/>
  <c r="F37" i="2"/>
  <c r="F38" i="2"/>
  <c r="H2" i="16" a="1"/>
  <c r="H2" i="16" s="1"/>
  <c r="F86" i="2" l="1"/>
  <c r="F140" i="2"/>
  <c r="F91" i="2"/>
  <c r="F138" i="2"/>
  <c r="F107" i="2"/>
  <c r="F48" i="2"/>
  <c r="F58" i="2"/>
  <c r="F74" i="2"/>
  <c r="F26" i="2"/>
  <c r="F60" i="2"/>
  <c r="F68" i="2"/>
  <c r="F76" i="2"/>
  <c r="F44" i="2"/>
  <c r="F55" i="2"/>
  <c r="F71" i="2"/>
  <c r="F28" i="2"/>
  <c r="F65" i="2"/>
  <c r="F73" i="2"/>
  <c r="F33" i="2"/>
  <c r="F70" i="2"/>
  <c r="F78" i="2"/>
  <c r="F30" i="2"/>
  <c r="F59" i="2"/>
  <c r="F75" i="2"/>
  <c r="F35" i="2"/>
  <c r="F56" i="2"/>
  <c r="F64" i="2"/>
  <c r="F72" i="2"/>
  <c r="F32" i="2"/>
  <c r="F46" i="2"/>
  <c r="F61" i="2"/>
  <c r="F69" i="2"/>
  <c r="F55" i="9"/>
  <c r="F94" i="9"/>
  <c r="F113" i="9"/>
  <c r="F27" i="2" l="1"/>
  <c r="F34" i="2"/>
  <c r="F47" i="2" l="1"/>
  <c r="F57" i="2"/>
  <c r="F67" i="2" l="1"/>
  <c r="F77" i="2"/>
  <c r="F29" i="2"/>
  <c r="F31" i="2"/>
  <c r="F63" i="2"/>
  <c r="F45" i="2"/>
  <c r="F62" i="2"/>
  <c r="F112" i="9" l="1"/>
  <c r="F21" i="3" l="1"/>
  <c r="F143"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<sst xmlns="http://schemas.openxmlformats.org/spreadsheetml/2006/main" count="3964" uniqueCount="518">
  <si>
    <t>SHOW JUMPING</t>
  </si>
  <si>
    <t>ANGASTON FEB 21st - Pr/Int &amp; Sen 22nd</t>
  </si>
  <si>
    <t>MUNDULLA FEB 28th</t>
  </si>
  <si>
    <t>MALLALA MARCH 8th or 9th</t>
  </si>
  <si>
    <t>INTERSCHOOL STATE CHAMPS APRIL 5th</t>
  </si>
  <si>
    <t>INTERSCHOOL STATE CHAMPS APRIL 6th</t>
  </si>
  <si>
    <t>WAIKERIE EASTER CARNIVAL APRIL 5th / 6th or 7th</t>
  </si>
  <si>
    <t>SA STATE JUMPING CHAMPIONSHIPS APRIL 25th/26th or 27th</t>
  </si>
  <si>
    <t>Primary 70cm</t>
  </si>
  <si>
    <t>Total High Points</t>
  </si>
  <si>
    <t xml:space="preserve"> Total Team Selection Points</t>
  </si>
  <si>
    <t>Jump Pen</t>
  </si>
  <si>
    <t>Time Pen</t>
  </si>
  <si>
    <t>Time</t>
  </si>
  <si>
    <t>Tot Pen</t>
  </si>
  <si>
    <t>High Points</t>
  </si>
  <si>
    <t>Team Selection Points</t>
  </si>
  <si>
    <t>Phase 1 Time</t>
  </si>
  <si>
    <t>Phase 2 Time</t>
  </si>
  <si>
    <t xml:space="preserve">P2 penalities </t>
  </si>
  <si>
    <t xml:space="preserve">Phase 2 Time </t>
  </si>
  <si>
    <t xml:space="preserve">Time </t>
  </si>
  <si>
    <t>Rider First Name</t>
  </si>
  <si>
    <t>Rider Last Name</t>
  </si>
  <si>
    <t>School</t>
  </si>
  <si>
    <t>Name of Pony/Horse</t>
  </si>
  <si>
    <t>Year</t>
  </si>
  <si>
    <t>Ali</t>
  </si>
  <si>
    <t>Smit</t>
  </si>
  <si>
    <t>Pulteney grammar school</t>
  </si>
  <si>
    <t>Sherbert Lemon</t>
  </si>
  <si>
    <t>NQ</t>
  </si>
  <si>
    <t>Carly</t>
  </si>
  <si>
    <t>Roberts</t>
  </si>
  <si>
    <t>Unity College</t>
  </si>
  <si>
    <t>Kapeta Langley</t>
  </si>
  <si>
    <t>Ellie</t>
  </si>
  <si>
    <t>Meaney</t>
  </si>
  <si>
    <t>St Joseph's Clare</t>
  </si>
  <si>
    <t>Loriot Pandora</t>
  </si>
  <si>
    <t>Imogen</t>
  </si>
  <si>
    <t>Carmichael</t>
  </si>
  <si>
    <t>Investigator College</t>
  </si>
  <si>
    <t>Little Black Suzi</t>
  </si>
  <si>
    <t>Olivia</t>
  </si>
  <si>
    <t>Spencer</t>
  </si>
  <si>
    <t xml:space="preserve">Pedare Christian College </t>
  </si>
  <si>
    <t>Nillalook Guardian</t>
  </si>
  <si>
    <t>Zara</t>
  </si>
  <si>
    <t>Wissell</t>
  </si>
  <si>
    <t>Maitland Lutheran School</t>
  </si>
  <si>
    <t>Wychwood</t>
  </si>
  <si>
    <t xml:space="preserve">Zoe </t>
  </si>
  <si>
    <t>James</t>
  </si>
  <si>
    <t>Gundermein touch of luck</t>
  </si>
  <si>
    <t>Primary 80cm</t>
  </si>
  <si>
    <t>Ruby</t>
  </si>
  <si>
    <t>Milway</t>
  </si>
  <si>
    <t xml:space="preserve">Balaklava Primary School </t>
  </si>
  <si>
    <t>Primary 90cm</t>
  </si>
  <si>
    <t>Intermediate 90cm</t>
  </si>
  <si>
    <t>Abigail</t>
  </si>
  <si>
    <t>Graham</t>
  </si>
  <si>
    <t>Seymour College</t>
  </si>
  <si>
    <t>Wyann Guns and Roses</t>
  </si>
  <si>
    <t>Annabelle</t>
  </si>
  <si>
    <t>Knowles</t>
  </si>
  <si>
    <t>St Peter's Girls</t>
  </si>
  <si>
    <t>Sandon Grove Bobby Royal</t>
  </si>
  <si>
    <t>ELIM</t>
  </si>
  <si>
    <t>Elim</t>
  </si>
  <si>
    <t>Digney</t>
  </si>
  <si>
    <t>Concordia</t>
  </si>
  <si>
    <t xml:space="preserve">There and back again </t>
  </si>
  <si>
    <t>Georgina</t>
  </si>
  <si>
    <t>Gleeson</t>
  </si>
  <si>
    <t>Curralong Park Frankel</t>
  </si>
  <si>
    <t>Holly</t>
  </si>
  <si>
    <t>Wotton</t>
  </si>
  <si>
    <t>Scotch College</t>
  </si>
  <si>
    <t>WURLYANA Buckshot</t>
  </si>
  <si>
    <t>Ivy</t>
  </si>
  <si>
    <t>Dowd</t>
  </si>
  <si>
    <t>Wilderness School</t>
  </si>
  <si>
    <t>Maddison</t>
  </si>
  <si>
    <t>Keira Park Cavalier</t>
  </si>
  <si>
    <t>Damara VWNZ</t>
  </si>
  <si>
    <t>Madelyn</t>
  </si>
  <si>
    <t>Hanna</t>
  </si>
  <si>
    <t>Cornerstone College</t>
  </si>
  <si>
    <t>Rhesa Elisha</t>
  </si>
  <si>
    <t>Selena</t>
  </si>
  <si>
    <t>Martiensen</t>
  </si>
  <si>
    <t>Mercedes College</t>
  </si>
  <si>
    <t>Lazy D White Chocolate</t>
  </si>
  <si>
    <t>Starla</t>
  </si>
  <si>
    <t>Murphy</t>
  </si>
  <si>
    <t>Walford</t>
  </si>
  <si>
    <t>Shanlin Burn Contender</t>
  </si>
  <si>
    <t>Stella</t>
  </si>
  <si>
    <t>Wynara First Romance</t>
  </si>
  <si>
    <t>Stirling</t>
  </si>
  <si>
    <t>DARTANIAN</t>
  </si>
  <si>
    <t>Intermediate 100cm</t>
  </si>
  <si>
    <t xml:space="preserve">Elim </t>
  </si>
  <si>
    <t>NP</t>
  </si>
  <si>
    <t xml:space="preserve">Scotch college </t>
  </si>
  <si>
    <t>Dartanian</t>
  </si>
  <si>
    <t>Secondary 90cm</t>
  </si>
  <si>
    <t>Eliza</t>
  </si>
  <si>
    <t>Spiers</t>
  </si>
  <si>
    <t>Urrbrae Agrigultural High</t>
  </si>
  <si>
    <t xml:space="preserve">Hillswood Beatrice </t>
  </si>
  <si>
    <t>Emily</t>
  </si>
  <si>
    <t>Crowe</t>
  </si>
  <si>
    <t>St Frances de Sales College</t>
  </si>
  <si>
    <t>Dawn Salute</t>
  </si>
  <si>
    <t>Hailey</t>
  </si>
  <si>
    <t>Arnold</t>
  </si>
  <si>
    <t>Waikerie High School</t>
  </si>
  <si>
    <t>Wyoming Lass</t>
  </si>
  <si>
    <t>Indy</t>
  </si>
  <si>
    <t>Berden</t>
  </si>
  <si>
    <t>Urrbrae Agricultural High</t>
  </si>
  <si>
    <t>McCartney Park Sugar n Spice</t>
  </si>
  <si>
    <t>Keely</t>
  </si>
  <si>
    <t>Hutchinson</t>
  </si>
  <si>
    <t>Eastern Fleurieu</t>
  </si>
  <si>
    <t>Exmoor Celtic Snow</t>
  </si>
  <si>
    <t>Sabela</t>
  </si>
  <si>
    <t>Moore</t>
  </si>
  <si>
    <t>Forrest Gumpp</t>
  </si>
  <si>
    <t>Shae</t>
  </si>
  <si>
    <t>Tweddle</t>
  </si>
  <si>
    <t>Grant high school</t>
  </si>
  <si>
    <t>Quick Time</t>
  </si>
  <si>
    <t>Shiloh</t>
  </si>
  <si>
    <t>Elm Tree Roosevet</t>
  </si>
  <si>
    <t>Secondary 100cm</t>
  </si>
  <si>
    <t>Ella</t>
  </si>
  <si>
    <t>Beissel</t>
  </si>
  <si>
    <t>Fiction</t>
  </si>
  <si>
    <t>EV Docetta</t>
  </si>
  <si>
    <t>Sophie</t>
  </si>
  <si>
    <t>Bairstow</t>
  </si>
  <si>
    <t>Urrbrae High School</t>
  </si>
  <si>
    <t>Forbidden Dream</t>
  </si>
  <si>
    <t>Secondary 110cm</t>
  </si>
  <si>
    <t>Harlow</t>
  </si>
  <si>
    <t>Diamond</t>
  </si>
  <si>
    <t>Pulteney Grammar School</t>
  </si>
  <si>
    <t>He's All White</t>
  </si>
  <si>
    <t>Glenshea Riversong</t>
  </si>
  <si>
    <t>Secondary 120cm</t>
  </si>
  <si>
    <t>SHOW HORSE</t>
  </si>
  <si>
    <t xml:space="preserve">LUCENDALE SHOW FEB 22nd </t>
  </si>
  <si>
    <t>MUNDULLA FEB 28th or MARCH 1st (TBC)</t>
  </si>
  <si>
    <t>WAIKERIE EASTER SHOW APRIL 18th/19th or 20th</t>
  </si>
  <si>
    <t xml:space="preserve"> Primary Show Horse</t>
  </si>
  <si>
    <t>Rider %</t>
  </si>
  <si>
    <t>Led %</t>
  </si>
  <si>
    <t>Jump / Ridden %</t>
  </si>
  <si>
    <t>Total %</t>
  </si>
  <si>
    <t>Lally</t>
  </si>
  <si>
    <t>Hills Christian Community College</t>
  </si>
  <si>
    <t>Trussana B</t>
  </si>
  <si>
    <t>Charlotte daisy</t>
  </si>
  <si>
    <t>Fahey</t>
  </si>
  <si>
    <t xml:space="preserve">Aldinga Beach Primary School </t>
  </si>
  <si>
    <t>Rising Dawn Andreis</t>
  </si>
  <si>
    <t>Tanglewood Park Day Dreams</t>
  </si>
  <si>
    <t xml:space="preserve"> Primary Show Hunter</t>
  </si>
  <si>
    <t>JAZAIL MARASI</t>
  </si>
  <si>
    <t>McEwen Leonardo Asturias</t>
  </si>
  <si>
    <t>Lucy</t>
  </si>
  <si>
    <t>Rhodes</t>
  </si>
  <si>
    <t xml:space="preserve">Pembroke </t>
  </si>
  <si>
    <t>SCAYSBROOK PARK ROYAL ENCORE</t>
  </si>
  <si>
    <t>Primary Working Hunter</t>
  </si>
  <si>
    <t>Harry</t>
  </si>
  <si>
    <t>Downer</t>
  </si>
  <si>
    <t>Hills Christian Community School</t>
  </si>
  <si>
    <t>Drumeden Centre Stage</t>
  </si>
  <si>
    <t>Takoda</t>
  </si>
  <si>
    <t>LUCENDALE SHOW FEB 22nd</t>
  </si>
  <si>
    <t>Intermediate Show Horse</t>
  </si>
  <si>
    <t>Ellana</t>
  </si>
  <si>
    <t>Princi</t>
  </si>
  <si>
    <t>St Francis De Sales College</t>
  </si>
  <si>
    <t>EP Royale</t>
  </si>
  <si>
    <t>Georgia</t>
  </si>
  <si>
    <t>Prior</t>
  </si>
  <si>
    <t>SP Willa</t>
  </si>
  <si>
    <t>Isla</t>
  </si>
  <si>
    <t>Pettman</t>
  </si>
  <si>
    <t>St Francis de sales</t>
  </si>
  <si>
    <t>Shropshire Posh Josh</t>
  </si>
  <si>
    <t>Kaylee</t>
  </si>
  <si>
    <t>Mcewen</t>
  </si>
  <si>
    <t xml:space="preserve">Urrbrae agricultural school </t>
  </si>
  <si>
    <t>Coco Equestrian Sophie</t>
  </si>
  <si>
    <t>Madison</t>
  </si>
  <si>
    <t>Ciavatta</t>
  </si>
  <si>
    <t>Grant High School</t>
  </si>
  <si>
    <t>Corncrake</t>
  </si>
  <si>
    <t>Toleia Park</t>
  </si>
  <si>
    <t xml:space="preserve">Sophia </t>
  </si>
  <si>
    <t>Colenso‐wallace</t>
  </si>
  <si>
    <t>Glenstone Kinvara</t>
  </si>
  <si>
    <t>Diamonte Show Time</t>
  </si>
  <si>
    <t>Starla Murphy</t>
  </si>
  <si>
    <t>Bordershow Superstar</t>
  </si>
  <si>
    <t>Rhesa Prince of Peace</t>
  </si>
  <si>
    <t>Intermediate Show Hunter</t>
  </si>
  <si>
    <t>Adelaide</t>
  </si>
  <si>
    <t>Noble</t>
  </si>
  <si>
    <t>Calumet Victory</t>
  </si>
  <si>
    <t>Marcus</t>
  </si>
  <si>
    <t>Tenison Woods College</t>
  </si>
  <si>
    <t>Riving Gale Force</t>
  </si>
  <si>
    <t>Rivington Folk Rock</t>
  </si>
  <si>
    <t>Intermediate Working Hunter</t>
  </si>
  <si>
    <t>Skye's The Limits</t>
  </si>
  <si>
    <t>Bethany</t>
  </si>
  <si>
    <t>Blower</t>
  </si>
  <si>
    <t>Lucindale Area School</t>
  </si>
  <si>
    <t>Calveston Pokemon</t>
  </si>
  <si>
    <t xml:space="preserve"> Secondary Show Horse</t>
  </si>
  <si>
    <t xml:space="preserve">Samantha </t>
  </si>
  <si>
    <t>Foster</t>
  </si>
  <si>
    <t>Tenison Woods college</t>
  </si>
  <si>
    <t>HVIRFS GRACIOUS</t>
  </si>
  <si>
    <t xml:space="preserve"> Secondary Show Hunter</t>
  </si>
  <si>
    <t>Jake</t>
  </si>
  <si>
    <t>SP River</t>
  </si>
  <si>
    <t>Lucinda</t>
  </si>
  <si>
    <t>Hoppe</t>
  </si>
  <si>
    <t>Dalpura Bullets and Bows</t>
  </si>
  <si>
    <t>Hillington Rossi</t>
  </si>
  <si>
    <t xml:space="preserve"> Secondary Working Hunter</t>
  </si>
  <si>
    <t>Lily</t>
  </si>
  <si>
    <t>Collins</t>
  </si>
  <si>
    <t>St Joesphs College</t>
  </si>
  <si>
    <t>WYANN TASMAN</t>
  </si>
  <si>
    <t>Isle of Grandeur</t>
  </si>
  <si>
    <t>Gardiner</t>
  </si>
  <si>
    <t>St Elmos Fire</t>
  </si>
  <si>
    <t xml:space="preserve">Sophie </t>
  </si>
  <si>
    <t>Opray</t>
  </si>
  <si>
    <t>Cherrywood Park Bonanza</t>
  </si>
  <si>
    <t>Splash the Cash</t>
  </si>
  <si>
    <t>EVENTING</t>
  </si>
  <si>
    <t>NARACOORTE HT MAY 17th &amp; 18th</t>
  </si>
  <si>
    <t xml:space="preserve"> EvA 80cm </t>
  </si>
  <si>
    <t>Dressage Score</t>
  </si>
  <si>
    <t>XC Jump Pen</t>
  </si>
  <si>
    <t>XC Time Pen</t>
  </si>
  <si>
    <t>SJ Pen</t>
  </si>
  <si>
    <t>SJ Time Pen</t>
  </si>
  <si>
    <t>Total Pen</t>
  </si>
  <si>
    <t>Aurelia</t>
  </si>
  <si>
    <t>Pyne</t>
  </si>
  <si>
    <t xml:space="preserve">St Peter’s Girls </t>
  </si>
  <si>
    <t>Carrots Jazz</t>
  </si>
  <si>
    <t>Celeste</t>
  </si>
  <si>
    <t>Kriznic</t>
  </si>
  <si>
    <t>Woodcroft College</t>
  </si>
  <si>
    <t>Boronia Fernando</t>
  </si>
  <si>
    <t>EL</t>
  </si>
  <si>
    <t>Giggles</t>
  </si>
  <si>
    <t>Katrina Brokus</t>
  </si>
  <si>
    <t>GE London</t>
  </si>
  <si>
    <t>Japonicum Hit</t>
  </si>
  <si>
    <t>Maggie-rose</t>
  </si>
  <si>
    <t>Mallord</t>
  </si>
  <si>
    <t>Master Binks</t>
  </si>
  <si>
    <t>Sarah</t>
  </si>
  <si>
    <t xml:space="preserve">ESB Irish Illusion </t>
  </si>
  <si>
    <t xml:space="preserve"> EvA 95cm </t>
  </si>
  <si>
    <t>EC Dolcetta</t>
  </si>
  <si>
    <t>Hedley</t>
  </si>
  <si>
    <t xml:space="preserve">Bradgate Park Don Palermo </t>
  </si>
  <si>
    <t>Matilda</t>
  </si>
  <si>
    <t>Kauppila</t>
  </si>
  <si>
    <t>Kangaroo Island Community Education</t>
  </si>
  <si>
    <t>Storm Brewing</t>
  </si>
  <si>
    <t>1* EvA 105cm</t>
  </si>
  <si>
    <t>Riverwood Splash</t>
  </si>
  <si>
    <t>2* EvA 115cm</t>
  </si>
  <si>
    <t>COMBINED TRAINING</t>
  </si>
  <si>
    <t>AHDC FEB 9th</t>
  </si>
  <si>
    <t>STATE CHAMPS APRIL 5th</t>
  </si>
  <si>
    <t>STATE CHAMPS APRIL 6th</t>
  </si>
  <si>
    <t>WAIKERIE 18th/19th/20th (TBC)</t>
  </si>
  <si>
    <t xml:space="preserve">NARACOORTE16th May </t>
  </si>
  <si>
    <t>CT 45cm Primary</t>
  </si>
  <si>
    <t>Dressage %</t>
  </si>
  <si>
    <t>Total pen</t>
  </si>
  <si>
    <t>Team Score Points</t>
  </si>
  <si>
    <t>Hallie</t>
  </si>
  <si>
    <t>Bradley</t>
  </si>
  <si>
    <t>Dalpura Allure</t>
  </si>
  <si>
    <t>Anna</t>
  </si>
  <si>
    <t>Bliss</t>
  </si>
  <si>
    <t>St Martins Lutheran College</t>
  </si>
  <si>
    <t>Bamborough Liberache</t>
  </si>
  <si>
    <t>Charlotte</t>
  </si>
  <si>
    <t>Cobcroft</t>
  </si>
  <si>
    <t>St Mark's Lutheran School</t>
  </si>
  <si>
    <t>Karanga Toy Story</t>
  </si>
  <si>
    <t>Brooklyn</t>
  </si>
  <si>
    <t>Shepherd</t>
  </si>
  <si>
    <t>Reynella East College</t>
  </si>
  <si>
    <t>Crimson Royale</t>
  </si>
  <si>
    <t xml:space="preserve">Darcey </t>
  </si>
  <si>
    <t>Colman</t>
  </si>
  <si>
    <t>Hills Christian College</t>
  </si>
  <si>
    <t>Sugargum Uabba Fern</t>
  </si>
  <si>
    <t>CT 60cm Primary</t>
  </si>
  <si>
    <t>CT 80cm Primary</t>
  </si>
  <si>
    <t>CT 60cm Secondary</t>
  </si>
  <si>
    <t xml:space="preserve">Investigator College </t>
  </si>
  <si>
    <t xml:space="preserve">The Brumby Strikes Back </t>
  </si>
  <si>
    <t>Ret</t>
  </si>
  <si>
    <t>CT 80cm Secondary</t>
  </si>
  <si>
    <t>CT 95cm Secondary</t>
  </si>
  <si>
    <t>CT 105cm Secondary</t>
  </si>
  <si>
    <t>CT 115cm Secondary</t>
  </si>
  <si>
    <t>DRESSAGE</t>
  </si>
  <si>
    <t xml:space="preserve">LUCENDALE FEB 22nd </t>
  </si>
  <si>
    <t>INTERSCHOOL STATE CHAMPS 5th &amp; 6th APRIL</t>
  </si>
  <si>
    <t>AHDC JUNE 8th</t>
  </si>
  <si>
    <t xml:space="preserve"> Primary Preliminary </t>
  </si>
  <si>
    <t>Class</t>
  </si>
  <si>
    <t>%</t>
  </si>
  <si>
    <t>Lyla</t>
  </si>
  <si>
    <t>Woolston</t>
  </si>
  <si>
    <t>Loriot Skyes The Limit</t>
  </si>
  <si>
    <t>Layla</t>
  </si>
  <si>
    <t>Kuhn-wyatt</t>
  </si>
  <si>
    <t>Clarendon Primary</t>
  </si>
  <si>
    <t>Chevrolet Silver Spirit</t>
  </si>
  <si>
    <t>Zoe</t>
  </si>
  <si>
    <t>Gundamein touch of luck</t>
  </si>
  <si>
    <t xml:space="preserve"> Primary Novice </t>
  </si>
  <si>
    <t>Airlie</t>
  </si>
  <si>
    <t>Wheadon</t>
  </si>
  <si>
    <t>Meadows primary school</t>
  </si>
  <si>
    <t>Miss Pea</t>
  </si>
  <si>
    <t xml:space="preserve">Willowcroft Warrior </t>
  </si>
  <si>
    <t xml:space="preserve"> Intermediate Preliminary </t>
  </si>
  <si>
    <t>Toleia Park French Lace</t>
  </si>
  <si>
    <t xml:space="preserve">Charlotte </t>
  </si>
  <si>
    <t>Leonow</t>
  </si>
  <si>
    <t>Kenlock Super Salute</t>
  </si>
  <si>
    <t xml:space="preserve"> Intermediate Novice </t>
  </si>
  <si>
    <t>2,2</t>
  </si>
  <si>
    <t>Senior Preliminary</t>
  </si>
  <si>
    <t>Amelia</t>
  </si>
  <si>
    <t>Massicci</t>
  </si>
  <si>
    <t>RRQ Shorty Valentino</t>
  </si>
  <si>
    <t>Dalpura Alita</t>
  </si>
  <si>
    <t xml:space="preserve"> Secondary Novice </t>
  </si>
  <si>
    <t xml:space="preserve"> Secondary Elementary </t>
  </si>
  <si>
    <t xml:space="preserve"> Secondary Medium </t>
  </si>
  <si>
    <t>Scores from 25 - 1 for State Champs only. Needs to be a qualifying score to gain points</t>
  </si>
  <si>
    <t>PR SJ 70</t>
  </si>
  <si>
    <t>PR SJ 80</t>
  </si>
  <si>
    <t>PR SJ 90</t>
  </si>
  <si>
    <t>Int SJ 90</t>
  </si>
  <si>
    <t>Int SJ 100</t>
  </si>
  <si>
    <t>Sec SJ 90</t>
  </si>
  <si>
    <t>Sec SJ 100</t>
  </si>
  <si>
    <t>Sec SH 110</t>
  </si>
  <si>
    <t>PR S Horse</t>
  </si>
  <si>
    <t>PR S Hunter</t>
  </si>
  <si>
    <t>PR W Hunter</t>
  </si>
  <si>
    <t>Int S Horse</t>
  </si>
  <si>
    <t>Int S Hunter</t>
  </si>
  <si>
    <t>Int W Hunter</t>
  </si>
  <si>
    <t>Sec S Horse</t>
  </si>
  <si>
    <t>Sec S Hunter</t>
  </si>
  <si>
    <t>S W Hunter</t>
  </si>
  <si>
    <t>PR CT 45</t>
  </si>
  <si>
    <t>PR CT 60</t>
  </si>
  <si>
    <t>PR CT 80</t>
  </si>
  <si>
    <t>CT 60</t>
  </si>
  <si>
    <t>CT 80</t>
  </si>
  <si>
    <t>CT 95</t>
  </si>
  <si>
    <t>CT 105</t>
  </si>
  <si>
    <t>PR 1.1</t>
  </si>
  <si>
    <t>PR 1.2</t>
  </si>
  <si>
    <t>PR 2.1</t>
  </si>
  <si>
    <t>PR 2.2</t>
  </si>
  <si>
    <t>Int 1.1</t>
  </si>
  <si>
    <t>Int 1.2</t>
  </si>
  <si>
    <t>Int 2.1</t>
  </si>
  <si>
    <t>Int 2.2</t>
  </si>
  <si>
    <t>Sec 1.1</t>
  </si>
  <si>
    <t>Sec 1.2</t>
  </si>
  <si>
    <t>Sec 2.1</t>
  </si>
  <si>
    <t>Sec 2.2</t>
  </si>
  <si>
    <t>Rider EA Number</t>
  </si>
  <si>
    <t>Rider name</t>
  </si>
  <si>
    <t>First Name</t>
  </si>
  <si>
    <t>Last Name</t>
  </si>
  <si>
    <t>Horse Name</t>
  </si>
  <si>
    <t>Event Name</t>
  </si>
  <si>
    <t>Class ID</t>
  </si>
  <si>
    <t>Event1</t>
  </si>
  <si>
    <t>Event2</t>
  </si>
  <si>
    <t>Event3</t>
  </si>
  <si>
    <t>Event4</t>
  </si>
  <si>
    <t>Event5</t>
  </si>
  <si>
    <t>Event6</t>
  </si>
  <si>
    <t>Event7</t>
  </si>
  <si>
    <t>Event8</t>
  </si>
  <si>
    <t>Class Name</t>
  </si>
  <si>
    <t>Class ID Ref</t>
  </si>
  <si>
    <t>Sophia Colenso‐wallace</t>
  </si>
  <si>
    <t>Intermediate Preliminary</t>
  </si>
  <si>
    <t>Primary Preliminary</t>
  </si>
  <si>
    <t>DPP</t>
  </si>
  <si>
    <t>Primary Novice</t>
  </si>
  <si>
    <t>DPN</t>
  </si>
  <si>
    <t>Samantha Foster</t>
  </si>
  <si>
    <t>DIP</t>
  </si>
  <si>
    <t>Secondary Working Hunter</t>
  </si>
  <si>
    <t>Intermediate Novice</t>
  </si>
  <si>
    <t>DIN</t>
  </si>
  <si>
    <t>DSP</t>
  </si>
  <si>
    <t>Secondary Show Hunter</t>
  </si>
  <si>
    <t>Secondary Novice</t>
  </si>
  <si>
    <t>DSN</t>
  </si>
  <si>
    <t>Secondary Show Horse</t>
  </si>
  <si>
    <t>Secondary Elementary</t>
  </si>
  <si>
    <t>DSE</t>
  </si>
  <si>
    <t>Secondary Medium</t>
  </si>
  <si>
    <t>DSM</t>
  </si>
  <si>
    <t>Charlotte Leonow</t>
  </si>
  <si>
    <t>EvA 80cm</t>
  </si>
  <si>
    <t>EV80</t>
  </si>
  <si>
    <t>Urrbrae</t>
  </si>
  <si>
    <t>EvA 95cm</t>
  </si>
  <si>
    <t>EV95</t>
  </si>
  <si>
    <t>EV105</t>
  </si>
  <si>
    <t>EV115</t>
  </si>
  <si>
    <t>Primary Show Horse</t>
  </si>
  <si>
    <t>SHP</t>
  </si>
  <si>
    <t>Primary Show Hunter</t>
  </si>
  <si>
    <t>SHUNTP</t>
  </si>
  <si>
    <t>WHUNTP</t>
  </si>
  <si>
    <t>SHI</t>
  </si>
  <si>
    <t>SHUNTI</t>
  </si>
  <si>
    <t>WHUNTI</t>
  </si>
  <si>
    <t>SHS</t>
  </si>
  <si>
    <t>SHUNTS</t>
  </si>
  <si>
    <t>WHUNTS</t>
  </si>
  <si>
    <t>CT45P</t>
  </si>
  <si>
    <t>CT60P</t>
  </si>
  <si>
    <t>CT80P</t>
  </si>
  <si>
    <t>CT60S</t>
  </si>
  <si>
    <t>CT80S</t>
  </si>
  <si>
    <t>CT95S</t>
  </si>
  <si>
    <t>CT105S</t>
  </si>
  <si>
    <t>CT115S</t>
  </si>
  <si>
    <t>Phase 2 time</t>
  </si>
  <si>
    <t>KIRCALDY HT MARCH 29th &amp; 30th</t>
  </si>
  <si>
    <t>Elle</t>
  </si>
  <si>
    <t>Humphries</t>
  </si>
  <si>
    <t>Heathfield High</t>
  </si>
  <si>
    <t>Babingtons revenge</t>
  </si>
  <si>
    <t>Mia</t>
  </si>
  <si>
    <t>Ozolins</t>
  </si>
  <si>
    <t>Mount Barker High</t>
  </si>
  <si>
    <t>Sierra Farm Serendipity</t>
  </si>
  <si>
    <t>Toulando</t>
  </si>
  <si>
    <t>McCartney Park Balou du Bling</t>
  </si>
  <si>
    <t>Retired</t>
  </si>
  <si>
    <t>elim</t>
  </si>
  <si>
    <t>REYNELLA HT</t>
  </si>
  <si>
    <t>MILANG HT March 1st &amp; 2nd</t>
  </si>
  <si>
    <t>KENLOCK SUPER SALUTE</t>
  </si>
  <si>
    <t>1st round Jump Pen</t>
  </si>
  <si>
    <t>1st round time Pen</t>
  </si>
  <si>
    <t>1st round time</t>
  </si>
  <si>
    <t>Jump off penalty</t>
  </si>
  <si>
    <t>Jump off time</t>
  </si>
  <si>
    <t>1st round Tot Pen</t>
  </si>
  <si>
    <t>Total Points</t>
  </si>
  <si>
    <t>Intermediate 7-9</t>
  </si>
  <si>
    <t>Secondary &gt;9</t>
  </si>
  <si>
    <t>Primary &lt;7</t>
  </si>
  <si>
    <t/>
  </si>
  <si>
    <t>Elim.</t>
  </si>
  <si>
    <t>n/a</t>
  </si>
  <si>
    <t>Scratch</t>
  </si>
  <si>
    <t>GUHR</t>
  </si>
  <si>
    <t>EV DOLCETTA</t>
  </si>
  <si>
    <t>ARRLO</t>
  </si>
  <si>
    <t>LORIOT PANDORA</t>
  </si>
  <si>
    <t>GUNDERMEIN TOUCH OF LUCK</t>
  </si>
  <si>
    <t>WYANN GUNS AND ROSES</t>
  </si>
  <si>
    <t>SHANLINBURN CONTENDER</t>
  </si>
  <si>
    <t>moved to 60</t>
  </si>
  <si>
    <t>scratch</t>
  </si>
  <si>
    <t>TRUSSANA B</t>
  </si>
  <si>
    <t>Prelim</t>
  </si>
  <si>
    <t>Novice</t>
  </si>
  <si>
    <t>Elementary</t>
  </si>
  <si>
    <t>Medium</t>
  </si>
  <si>
    <t>TOULANDO</t>
  </si>
  <si>
    <t>AHDC April 13th</t>
  </si>
  <si>
    <t>Tim Pen</t>
  </si>
  <si>
    <t>DNQ</t>
  </si>
  <si>
    <t>Withdrawn</t>
  </si>
  <si>
    <t>84.5 / Elim</t>
  </si>
  <si>
    <t>pend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</si>
</sst>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9">
    <font>
      <sz val="12"/>
      <color theme="1"/>
      <name val="Calibri"/>
      <family val="2"/>
      <scheme val="minor"/>
    </font>
    <font>
      <sz val="11"/>
      <color theme="1"/>
      <name val="Calibri"/>
      <family val="2"/>
      <scheme val="minor"/>
    </font>
    <font>
      <sz val="10"/>
      <color rgb="FF000000"/>
      <name val="Helvetica Neue"/>
      <family val="2"/>
    </font>
    <font>
      <b/>
      <sz val="10"/>
      <color rgb="FF000000"/>
      <name val="Helvetica Neue"/>
      <family val="2"/>
    </font>
    <font>
      <sz val="10"/>
      <color theme="1"/>
      <name val="Calibri"/>
      <family val="2"/>
      <scheme val="minor"/>
    </font>
    <font>
      <sz val="10"/>
      <color theme="1"/>
      <name val="Helvetica Neue"/>
    </font>
    <font>
      <sz val="12"/>
      <name val="Calibri"/>
      <family val="2"/>
      <scheme val="minor"/>
    </font>
    <font>
      <sz val="10"/>
      <color rgb="FF000000"/>
      <name val="Helvetica Neue"/>
    </font>
    <font>
      <sz val="10"/>
      <color rgb="FF000000"/>
      <name val="Times New Roman"/>
      <family val="1"/>
    </font>
    <font>
      <sz val="10"/>
      <color theme="1"/>
      <name val="Times New Roman"/>
      <family val="1"/>
    </font>
    <font>
      <b/>
      <sz val="10"/>
      <color rgb="FF000000"/>
      <name val="Helvetica Neue"/>
    </font>
    <font>
      <b/>
      <sz val="12"/>
      <color theme="1"/>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sz val="16"/>
      <color theme="1"/>
      <name val="Calibri"/>
      <family val="2"/>
      <scheme val="minor"/>
    </font>
    <font>
      <sz val="12"/>
      <color rgb="FF000000"/>
      <name val="Helvetica Neue"/>
      <family val="2"/>
    </font>
    <font>
      <sz val="12"/>
      <color rgb="FF000000"/>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color rgb="FF000000"/>
      <name val="Times New Roman"/>
      <family val="1"/>
    </font>
    <font>
      <sz val="12"/>
      <color rgb="FFFF0000"/>
      <name val="Calibri"/>
      <family val="2"/>
      <scheme val="minor"/>
    </font>
    <font>
      <sz val="12"/>
      <color rgb="FF080809"/>
      <name val="Calibri"/>
      <family val="2"/>
      <scheme val="minor"/>
    </font>
  </fonts>
  <fills count="5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999FF"/>
        <bgColor indexed="64"/>
      </patternFill>
    </fill>
    <fill>
      <patternFill patternType="solid">
        <fgColor rgb="FFFF00FF"/>
        <bgColor indexed="64"/>
      </patternFill>
    </fill>
    <fill>
      <patternFill patternType="solid">
        <fgColor rgb="FFFFCC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CCCC"/>
        <bgColor indexed="64"/>
      </patternFill>
    </fill>
    <fill>
      <patternFill patternType="solid">
        <fgColor rgb="FFD6DCE4"/>
        <bgColor rgb="FF000000"/>
      </patternFill>
    </fill>
    <fill>
      <patternFill patternType="solid">
        <fgColor rgb="FFFF00FF"/>
        <bgColor rgb="FF000000"/>
      </patternFill>
    </fill>
    <fill>
      <patternFill patternType="solid">
        <fgColor rgb="FF9999FF"/>
        <bgColor rgb="FF000000"/>
      </patternFill>
    </fill>
    <fill>
      <patternFill patternType="solid">
        <fgColor rgb="FFFFCCFF"/>
        <bgColor rgb="FF000000"/>
      </patternFill>
    </fill>
    <fill>
      <patternFill patternType="solid">
        <fgColor rgb="FFDDEBF7"/>
        <bgColor rgb="FF000000"/>
      </patternFill>
    </fill>
    <fill>
      <patternFill patternType="solid">
        <fgColor rgb="FFFFFFFF"/>
        <bgColor rgb="FF000000"/>
      </patternFill>
    </fill>
    <fill>
      <patternFill patternType="solid">
        <fgColor rgb="FFD9E1F2"/>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top style="thin">
        <color indexed="64"/>
      </top>
      <bottom style="thin">
        <color rgb="FF000000"/>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thin">
        <color indexed="64"/>
      </top>
      <bottom style="thin">
        <color rgb="FF000000"/>
      </bottom>
      <diagonal/>
    </border>
  </borders>
  <cellStyleXfs count="45">
    <xf numFmtId="0" fontId="0" fillId="0" borderId="0"/>
    <xf numFmtId="0" fontId="19" fillId="0" borderId="0" applyNumberFormat="0" applyFill="0" applyBorder="0" applyAlignment="0" applyProtection="0"/>
    <xf numFmtId="0" fontId="20" fillId="0" borderId="64" applyNumberFormat="0" applyFill="0" applyAlignment="0" applyProtection="0"/>
    <xf numFmtId="0" fontId="21" fillId="0" borderId="65" applyNumberFormat="0" applyFill="0" applyAlignment="0" applyProtection="0"/>
    <xf numFmtId="0" fontId="22" fillId="0" borderId="66" applyNumberFormat="0" applyFill="0" applyAlignment="0" applyProtection="0"/>
    <xf numFmtId="0" fontId="22" fillId="0" borderId="0" applyNumberFormat="0" applyFill="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6" fillId="22" borderId="67" applyNumberFormat="0" applyAlignment="0" applyProtection="0"/>
    <xf numFmtId="0" fontId="27" fillId="23" borderId="68" applyNumberFormat="0" applyAlignment="0" applyProtection="0"/>
    <xf numFmtId="0" fontId="28" fillId="23" borderId="67" applyNumberFormat="0" applyAlignment="0" applyProtection="0"/>
    <xf numFmtId="0" fontId="29" fillId="0" borderId="69" applyNumberFormat="0" applyFill="0" applyAlignment="0" applyProtection="0"/>
    <xf numFmtId="0" fontId="30" fillId="24" borderId="70"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72" applyNumberFormat="0" applyFill="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0" borderId="0"/>
    <xf numFmtId="0" fontId="1" fillId="25" borderId="71" applyNumberFormat="0" applyFont="0" applyAlignment="0" applyProtection="0"/>
    <xf numFmtId="43" fontId="18" fillId="0" borderId="0" applyFont="0" applyFill="0" applyBorder="0" applyAlignment="0" applyProtection="0"/>
    <xf numFmtId="9" fontId="18" fillId="0" borderId="0" applyFont="0" applyFill="0" applyBorder="0" applyAlignment="0" applyProtection="0"/>
  </cellStyleXfs>
  <cellXfs count="469">
    <xf numFmtId="0" fontId="0" fillId="0" borderId="0" xfId="0"/>
    <xf numFmtId="0" fontId="3" fillId="0" borderId="1" xfId="0" applyFont="1" applyBorder="1"/>
    <xf numFmtId="0" fontId="2" fillId="0" borderId="1" xfId="0" applyFont="1" applyBorder="1"/>
    <xf numFmtId="0" fontId="0" fillId="0" borderId="1" xfId="0" applyBorder="1"/>
    <xf numFmtId="0" fontId="3" fillId="0" borderId="2" xfId="0" applyFont="1" applyBorder="1"/>
    <xf numFmtId="0" fontId="2" fillId="0" borderId="2" xfId="0" applyFont="1" applyBorder="1"/>
    <xf numFmtId="0" fontId="3" fillId="0" borderId="0" xfId="0" applyFont="1"/>
    <xf numFmtId="0" fontId="2" fillId="0" borderId="0" xfId="0" applyFont="1"/>
    <xf numFmtId="0" fontId="2" fillId="0" borderId="11" xfId="0" applyFont="1" applyBorder="1"/>
    <xf numFmtId="0" fontId="0" fillId="0" borderId="0" xfId="0" applyAlignment="1">
      <alignment horizontal="center"/>
    </xf>
    <xf numFmtId="0" fontId="0" fillId="4" borderId="1" xfId="0" applyFill="1" applyBorder="1" applyAlignment="1">
      <alignment horizontal="center"/>
    </xf>
    <xf numFmtId="0" fontId="0" fillId="0" borderId="2" xfId="0" applyBorder="1"/>
    <xf numFmtId="0" fontId="0" fillId="4" borderId="1" xfId="0" applyFill="1" applyBorder="1"/>
    <xf numFmtId="0" fontId="2" fillId="0" borderId="4" xfId="0" applyFont="1" applyBorder="1"/>
    <xf numFmtId="0" fontId="0" fillId="0" borderId="4" xfId="0" applyBorder="1"/>
    <xf numFmtId="0" fontId="0" fillId="0" borderId="11" xfId="0" applyBorder="1"/>
    <xf numFmtId="0" fontId="0" fillId="0" borderId="12" xfId="0" applyBorder="1"/>
    <xf numFmtId="0" fontId="0" fillId="0" borderId="14" xfId="0" applyBorder="1"/>
    <xf numFmtId="0" fontId="0" fillId="0" borderId="16" xfId="0" applyBorder="1"/>
    <xf numFmtId="0" fontId="0" fillId="0" borderId="3" xfId="0" applyBorder="1"/>
    <xf numFmtId="0" fontId="0" fillId="0" borderId="13" xfId="0" applyBorder="1"/>
    <xf numFmtId="0" fontId="0" fillId="0" borderId="15" xfId="0" applyBorder="1"/>
    <xf numFmtId="0" fontId="0" fillId="0" borderId="11" xfId="0" applyBorder="1" applyAlignment="1">
      <alignment horizontal="center"/>
    </xf>
    <xf numFmtId="0" fontId="0" fillId="0" borderId="22" xfId="0" applyBorder="1"/>
    <xf numFmtId="0" fontId="0" fillId="2" borderId="1" xfId="0" applyFill="1" applyBorder="1"/>
    <xf numFmtId="0" fontId="0" fillId="0" borderId="19" xfId="0" applyBorder="1"/>
    <xf numFmtId="0" fontId="0" fillId="0" borderId="27" xfId="0" applyBorder="1"/>
    <xf numFmtId="0" fontId="4" fillId="0" borderId="0" xfId="0" applyFont="1"/>
    <xf numFmtId="0" fontId="4" fillId="0" borderId="1" xfId="0" applyFont="1" applyBorder="1"/>
    <xf numFmtId="0" fontId="0" fillId="0" borderId="6" xfId="0" applyBorder="1"/>
    <xf numFmtId="0" fontId="0" fillId="0" borderId="29" xfId="0" applyBorder="1"/>
    <xf numFmtId="0" fontId="0" fillId="0" borderId="30" xfId="0" applyBorder="1"/>
    <xf numFmtId="0" fontId="0" fillId="0" borderId="13" xfId="0" applyBorder="1" applyAlignment="1">
      <alignment horizontal="center"/>
    </xf>
    <xf numFmtId="0" fontId="0" fillId="0" borderId="35" xfId="0" applyBorder="1"/>
    <xf numFmtId="0" fontId="0" fillId="0" borderId="28" xfId="0" applyBorder="1"/>
    <xf numFmtId="0" fontId="2" fillId="0" borderId="14" xfId="0" applyFont="1" applyBorder="1"/>
    <xf numFmtId="0" fontId="0" fillId="0" borderId="26" xfId="0" applyBorder="1"/>
    <xf numFmtId="0" fontId="0" fillId="4" borderId="5" xfId="0" applyFill="1"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0" xfId="0" applyAlignment="1">
      <alignment vertical="center"/>
    </xf>
    <xf numFmtId="0" fontId="0" fillId="4" borderId="10" xfId="0" applyFill="1" applyBorder="1" applyAlignment="1">
      <alignment horizontal="center" vertical="center"/>
    </xf>
    <xf numFmtId="0" fontId="0" fillId="0" borderId="0" xfId="0" applyAlignment="1">
      <alignment horizontal="center" vertical="center"/>
    </xf>
    <xf numFmtId="0" fontId="0" fillId="4" borderId="38"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vertical="center"/>
    </xf>
    <xf numFmtId="0" fontId="0" fillId="4" borderId="19" xfId="0" applyFill="1" applyBorder="1" applyAlignment="1">
      <alignment vertical="center"/>
    </xf>
    <xf numFmtId="0" fontId="0" fillId="0" borderId="36" xfId="0" applyBorder="1"/>
    <xf numFmtId="0" fontId="0" fillId="9" borderId="34" xfId="0" applyFill="1" applyBorder="1" applyAlignment="1">
      <alignment horizontal="center" vertical="center" wrapText="1"/>
    </xf>
    <xf numFmtId="0" fontId="0" fillId="4" borderId="37" xfId="0" applyFill="1" applyBorder="1" applyAlignment="1">
      <alignment horizontal="center" vertical="center"/>
    </xf>
    <xf numFmtId="0" fontId="0" fillId="4" borderId="2" xfId="0" applyFill="1" applyBorder="1" applyAlignment="1">
      <alignment horizontal="center" vertical="center"/>
    </xf>
    <xf numFmtId="0" fontId="0" fillId="4" borderId="29" xfId="0" applyFill="1" applyBorder="1" applyAlignment="1">
      <alignment horizontal="center" vertical="center"/>
    </xf>
    <xf numFmtId="0" fontId="0" fillId="4" borderId="31" xfId="0" applyFill="1" applyBorder="1" applyAlignment="1">
      <alignment horizontal="center" vertical="center"/>
    </xf>
    <xf numFmtId="0" fontId="0" fillId="4" borderId="6" xfId="0" applyFill="1" applyBorder="1" applyAlignment="1">
      <alignment horizontal="center" vertical="center"/>
    </xf>
    <xf numFmtId="0" fontId="0" fillId="9" borderId="39" xfId="0" applyFill="1" applyBorder="1" applyAlignment="1">
      <alignment horizontal="center" vertical="center" wrapText="1"/>
    </xf>
    <xf numFmtId="0" fontId="0" fillId="2" borderId="49" xfId="0" applyFill="1" applyBorder="1" applyAlignment="1">
      <alignment horizontal="center"/>
    </xf>
    <xf numFmtId="0" fontId="0" fillId="4" borderId="33" xfId="0" applyFill="1" applyBorder="1" applyAlignment="1">
      <alignment horizontal="center" vertical="center"/>
    </xf>
    <xf numFmtId="0" fontId="0" fillId="7" borderId="49" xfId="0" applyFill="1" applyBorder="1" applyAlignment="1">
      <alignment horizontal="center"/>
    </xf>
    <xf numFmtId="0" fontId="0" fillId="4" borderId="31" xfId="0" applyFill="1" applyBorder="1" applyAlignment="1">
      <alignment vertical="center"/>
    </xf>
    <xf numFmtId="0" fontId="0" fillId="4" borderId="6" xfId="0" applyFill="1" applyBorder="1" applyAlignment="1">
      <alignment vertical="center"/>
    </xf>
    <xf numFmtId="0" fontId="0" fillId="0" borderId="27" xfId="0" applyBorder="1" applyAlignment="1">
      <alignment horizontal="right"/>
    </xf>
    <xf numFmtId="0" fontId="0" fillId="4" borderId="37" xfId="0" applyFill="1" applyBorder="1" applyAlignment="1">
      <alignment vertical="center"/>
    </xf>
    <xf numFmtId="0" fontId="0" fillId="9" borderId="18" xfId="0" applyFill="1" applyBorder="1" applyAlignment="1">
      <alignment horizontal="center" vertical="center" wrapText="1"/>
    </xf>
    <xf numFmtId="0" fontId="2" fillId="0" borderId="27" xfId="0" applyFont="1" applyBorder="1"/>
    <xf numFmtId="0" fontId="0" fillId="9" borderId="41" xfId="0" applyFill="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0" fillId="4" borderId="32" xfId="0" applyFill="1" applyBorder="1" applyAlignment="1">
      <alignment horizontal="center" vertical="center"/>
    </xf>
    <xf numFmtId="0" fontId="4" fillId="0" borderId="2" xfId="0" applyFont="1" applyBorder="1"/>
    <xf numFmtId="0" fontId="5" fillId="0" borderId="2" xfId="0" applyFont="1" applyBorder="1"/>
    <xf numFmtId="0" fontId="5" fillId="0" borderId="0" xfId="0" applyFont="1"/>
    <xf numFmtId="0" fontId="0" fillId="0" borderId="15" xfId="0"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xf>
    <xf numFmtId="0" fontId="0" fillId="0" borderId="30" xfId="0" applyBorder="1" applyAlignment="1">
      <alignment horizontal="center"/>
    </xf>
    <xf numFmtId="0" fontId="0" fillId="8" borderId="35" xfId="0" applyFill="1" applyBorder="1"/>
    <xf numFmtId="0" fontId="0" fillId="8" borderId="46" xfId="0" applyFill="1" applyBorder="1"/>
    <xf numFmtId="0" fontId="0" fillId="8" borderId="42" xfId="0" applyFill="1" applyBorder="1" applyAlignment="1">
      <alignment horizontal="right"/>
    </xf>
    <xf numFmtId="0" fontId="0" fillId="8" borderId="36" xfId="0" applyFill="1" applyBorder="1" applyAlignment="1">
      <alignment horizontal="right"/>
    </xf>
    <xf numFmtId="0" fontId="0" fillId="8" borderId="19" xfId="0" applyFill="1" applyBorder="1"/>
    <xf numFmtId="0" fontId="0" fillId="8" borderId="24" xfId="0" applyFill="1" applyBorder="1"/>
    <xf numFmtId="0" fontId="0" fillId="8" borderId="26" xfId="0" applyFill="1" applyBorder="1"/>
    <xf numFmtId="0" fontId="0" fillId="8" borderId="42" xfId="0" applyFill="1" applyBorder="1"/>
    <xf numFmtId="0" fontId="0" fillId="8" borderId="36" xfId="0" applyFill="1" applyBorder="1"/>
    <xf numFmtId="0" fontId="0" fillId="10" borderId="39" xfId="0" applyFill="1" applyBorder="1" applyAlignment="1">
      <alignment vertical="center"/>
    </xf>
    <xf numFmtId="0" fontId="0" fillId="11" borderId="35" xfId="0" applyFill="1" applyBorder="1"/>
    <xf numFmtId="0" fontId="0" fillId="11" borderId="42" xfId="0" applyFill="1" applyBorder="1"/>
    <xf numFmtId="0" fontId="0" fillId="11" borderId="36" xfId="0" applyFill="1" applyBorder="1"/>
    <xf numFmtId="0" fontId="6" fillId="10" borderId="39" xfId="0" applyFont="1" applyFill="1" applyBorder="1" applyAlignment="1">
      <alignment vertical="center"/>
    </xf>
    <xf numFmtId="0" fontId="0" fillId="10" borderId="34" xfId="0" applyFill="1" applyBorder="1" applyAlignment="1">
      <alignment horizontal="center" vertical="center"/>
    </xf>
    <xf numFmtId="0" fontId="3" fillId="11" borderId="35" xfId="0" applyFont="1" applyFill="1" applyBorder="1"/>
    <xf numFmtId="0" fontId="2" fillId="11" borderId="35" xfId="0" applyFont="1" applyFill="1" applyBorder="1"/>
    <xf numFmtId="0" fontId="3" fillId="8" borderId="35" xfId="0" applyFont="1" applyFill="1" applyBorder="1"/>
    <xf numFmtId="0" fontId="2" fillId="8" borderId="35" xfId="0" applyFont="1" applyFill="1" applyBorder="1"/>
    <xf numFmtId="0" fontId="0" fillId="10" borderId="34" xfId="0" applyFill="1" applyBorder="1" applyAlignment="1">
      <alignment vertical="center"/>
    </xf>
    <xf numFmtId="0" fontId="0" fillId="8" borderId="43" xfId="0" applyFill="1" applyBorder="1"/>
    <xf numFmtId="0" fontId="0" fillId="8" borderId="45" xfId="0" applyFill="1" applyBorder="1"/>
    <xf numFmtId="0" fontId="0" fillId="11" borderId="35" xfId="0" applyFill="1" applyBorder="1" applyAlignment="1">
      <alignment horizontal="center"/>
    </xf>
    <xf numFmtId="0" fontId="4" fillId="11" borderId="36" xfId="0" applyFont="1" applyFill="1" applyBorder="1"/>
    <xf numFmtId="0" fontId="0" fillId="10" borderId="17" xfId="0" applyFill="1" applyBorder="1" applyAlignment="1">
      <alignment vertical="center"/>
    </xf>
    <xf numFmtId="0" fontId="0" fillId="10" borderId="40" xfId="0" applyFill="1" applyBorder="1" applyAlignment="1">
      <alignment vertical="center"/>
    </xf>
    <xf numFmtId="0" fontId="0" fillId="11" borderId="39" xfId="0" applyFill="1" applyBorder="1"/>
    <xf numFmtId="0" fontId="2" fillId="8" borderId="39" xfId="0" applyFont="1" applyFill="1" applyBorder="1"/>
    <xf numFmtId="0" fontId="0" fillId="8" borderId="44" xfId="0" applyFill="1" applyBorder="1"/>
    <xf numFmtId="0" fontId="0" fillId="11" borderId="35" xfId="0" applyFill="1" applyBorder="1" applyAlignment="1">
      <alignment horizontal="center" vertical="center"/>
    </xf>
    <xf numFmtId="0" fontId="0" fillId="11" borderId="36" xfId="0" applyFill="1" applyBorder="1" applyAlignment="1">
      <alignment horizontal="center" vertical="center"/>
    </xf>
    <xf numFmtId="0" fontId="0" fillId="11" borderId="42" xfId="0" applyFill="1" applyBorder="1" applyAlignment="1">
      <alignment horizontal="center" vertical="center"/>
    </xf>
    <xf numFmtId="0" fontId="0" fillId="0" borderId="1" xfId="0" applyBorder="1" applyAlignment="1">
      <alignment horizontal="center" vertical="center"/>
    </xf>
    <xf numFmtId="0" fontId="0" fillId="11" borderId="50" xfId="0" applyFill="1" applyBorder="1"/>
    <xf numFmtId="0" fontId="0" fillId="11" borderId="51" xfId="0" applyFill="1" applyBorder="1"/>
    <xf numFmtId="0" fontId="0" fillId="8" borderId="35" xfId="0" applyFill="1" applyBorder="1" applyAlignment="1">
      <alignment horizontal="center"/>
    </xf>
    <xf numFmtId="0" fontId="0" fillId="4" borderId="31" xfId="0" applyFill="1" applyBorder="1" applyAlignment="1">
      <alignment horizontal="center"/>
    </xf>
    <xf numFmtId="0" fontId="0" fillId="4" borderId="31" xfId="0" applyFill="1" applyBorder="1"/>
    <xf numFmtId="47" fontId="0" fillId="0" borderId="1" xfId="0" applyNumberFormat="1" applyBorder="1"/>
    <xf numFmtId="0" fontId="0" fillId="10" borderId="34" xfId="0" applyFill="1" applyBorder="1" applyAlignment="1">
      <alignment horizontal="center" vertical="center" wrapText="1"/>
    </xf>
    <xf numFmtId="0" fontId="0" fillId="2" borderId="2" xfId="0" applyFill="1" applyBorder="1"/>
    <xf numFmtId="0" fontId="0" fillId="2" borderId="31" xfId="0" applyFill="1" applyBorder="1"/>
    <xf numFmtId="0" fontId="0" fillId="2" borderId="6" xfId="0" applyFill="1" applyBorder="1"/>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0" fillId="8" borderId="53" xfId="0" applyFill="1" applyBorder="1"/>
    <xf numFmtId="0" fontId="0" fillId="11" borderId="53" xfId="0" applyFill="1" applyBorder="1"/>
    <xf numFmtId="0" fontId="0" fillId="0" borderId="55" xfId="0" applyBorder="1"/>
    <xf numFmtId="0" fontId="0" fillId="0" borderId="56" xfId="0" applyBorder="1"/>
    <xf numFmtId="0" fontId="0" fillId="0" borderId="3" xfId="0" applyBorder="1" applyAlignment="1">
      <alignment horizontal="right"/>
    </xf>
    <xf numFmtId="0" fontId="0" fillId="0" borderId="1" xfId="0" applyBorder="1" applyAlignment="1">
      <alignment horizontal="right"/>
    </xf>
    <xf numFmtId="0" fontId="0" fillId="0" borderId="57" xfId="0" applyBorder="1"/>
    <xf numFmtId="0" fontId="0" fillId="0" borderId="58" xfId="0" applyBorder="1"/>
    <xf numFmtId="0" fontId="0" fillId="0" borderId="59" xfId="0" applyBorder="1"/>
    <xf numFmtId="0" fontId="0" fillId="11" borderId="60" xfId="0" applyFill="1" applyBorder="1"/>
    <xf numFmtId="0" fontId="0" fillId="8" borderId="60" xfId="0" applyFill="1" applyBorder="1"/>
    <xf numFmtId="0" fontId="0" fillId="0" borderId="31" xfId="0" applyBorder="1"/>
    <xf numFmtId="0" fontId="0" fillId="8" borderId="39" xfId="0" applyFill="1" applyBorder="1"/>
    <xf numFmtId="0" fontId="0" fillId="0" borderId="54" xfId="0" applyBorder="1"/>
    <xf numFmtId="0" fontId="2" fillId="0" borderId="58" xfId="0" applyFont="1" applyBorder="1"/>
    <xf numFmtId="0" fontId="2" fillId="0" borderId="59" xfId="0" applyFont="1" applyBorder="1"/>
    <xf numFmtId="0" fontId="10" fillId="8" borderId="35" xfId="0" applyFont="1" applyFill="1" applyBorder="1"/>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2" fillId="8" borderId="35" xfId="0" applyFont="1" applyFill="1" applyBorder="1" applyAlignment="1">
      <alignment horizontal="center" vertical="center"/>
    </xf>
    <xf numFmtId="0" fontId="2" fillId="8" borderId="36" xfId="0" applyFont="1" applyFill="1" applyBorder="1" applyAlignment="1">
      <alignment horizontal="center" vertical="center"/>
    </xf>
    <xf numFmtId="0" fontId="3" fillId="8" borderId="35" xfId="0" applyFont="1" applyFill="1" applyBorder="1" applyAlignment="1">
      <alignment horizontal="center" vertical="center"/>
    </xf>
    <xf numFmtId="0" fontId="2" fillId="11" borderId="35" xfId="0" applyFont="1" applyFill="1" applyBorder="1" applyAlignment="1">
      <alignment horizontal="center" vertical="center"/>
    </xf>
    <xf numFmtId="0" fontId="3" fillId="11" borderId="35" xfId="0" applyFont="1" applyFill="1" applyBorder="1" applyAlignment="1">
      <alignment horizontal="center" vertical="center"/>
    </xf>
    <xf numFmtId="0" fontId="2" fillId="11" borderId="39" xfId="0" applyFont="1" applyFill="1" applyBorder="1"/>
    <xf numFmtId="0" fontId="0" fillId="11" borderId="61" xfId="0" applyFill="1" applyBorder="1"/>
    <xf numFmtId="0" fontId="0" fillId="11" borderId="25" xfId="0" applyFill="1" applyBorder="1"/>
    <xf numFmtId="0" fontId="0" fillId="11" borderId="62" xfId="0" applyFill="1" applyBorder="1"/>
    <xf numFmtId="0" fontId="2" fillId="8" borderId="42" xfId="0" applyFont="1" applyFill="1" applyBorder="1" applyAlignment="1">
      <alignment horizontal="center" vertical="center"/>
    </xf>
    <xf numFmtId="0" fontId="0" fillId="8" borderId="42" xfId="0" applyFill="1" applyBorder="1" applyAlignment="1">
      <alignment horizontal="center" vertical="center"/>
    </xf>
    <xf numFmtId="0" fontId="0" fillId="11" borderId="35" xfId="0" applyFill="1" applyBorder="1" applyAlignment="1">
      <alignment horizontal="right"/>
    </xf>
    <xf numFmtId="0" fontId="0" fillId="11" borderId="35" xfId="0" applyFill="1" applyBorder="1" applyAlignment="1">
      <alignment horizontal="right" vertical="center"/>
    </xf>
    <xf numFmtId="0" fontId="0" fillId="11" borderId="36" xfId="0" applyFill="1" applyBorder="1" applyAlignment="1">
      <alignment horizontal="right"/>
    </xf>
    <xf numFmtId="3" fontId="0" fillId="0" borderId="2" xfId="0" applyNumberFormat="1" applyBorder="1"/>
    <xf numFmtId="0" fontId="0" fillId="11" borderId="36" xfId="0" applyFill="1" applyBorder="1" applyAlignment="1">
      <alignment horizontal="center"/>
    </xf>
    <xf numFmtId="0" fontId="4" fillId="8" borderId="36" xfId="0" applyFont="1" applyFill="1" applyBorder="1"/>
    <xf numFmtId="0" fontId="0" fillId="8" borderId="36" xfId="0" applyFill="1" applyBorder="1" applyAlignment="1">
      <alignment horizontal="center"/>
    </xf>
    <xf numFmtId="0" fontId="0" fillId="8" borderId="35" xfId="0" applyFill="1" applyBorder="1" applyAlignment="1">
      <alignment horizontal="right"/>
    </xf>
    <xf numFmtId="0" fontId="7" fillId="0" borderId="1" xfId="0" applyFont="1" applyBorder="1"/>
    <xf numFmtId="0" fontId="11" fillId="8" borderId="36" xfId="0" applyFont="1" applyFill="1" applyBorder="1" applyAlignment="1">
      <alignment horizontal="center" vertical="center"/>
    </xf>
    <xf numFmtId="0" fontId="7" fillId="8" borderId="35" xfId="0" applyFont="1" applyFill="1" applyBorder="1"/>
    <xf numFmtId="0" fontId="10" fillId="8" borderId="35" xfId="0" applyFont="1" applyFill="1" applyBorder="1" applyAlignment="1">
      <alignment horizontal="center" vertical="center"/>
    </xf>
    <xf numFmtId="0" fontId="10" fillId="8" borderId="36" xfId="0" applyFont="1" applyFill="1" applyBorder="1" applyAlignment="1">
      <alignment horizontal="center" vertical="center"/>
    </xf>
    <xf numFmtId="0" fontId="0" fillId="6" borderId="0" xfId="0" applyFill="1" applyAlignment="1">
      <alignment horizontal="center"/>
    </xf>
    <xf numFmtId="0" fontId="13" fillId="0" borderId="0" xfId="0" applyFont="1" applyAlignment="1">
      <alignment horizontal="center"/>
    </xf>
    <xf numFmtId="0" fontId="3" fillId="0" borderId="19" xfId="0" applyFont="1" applyBorder="1"/>
    <xf numFmtId="0" fontId="2" fillId="0" borderId="19" xfId="0" applyFont="1" applyBorder="1"/>
    <xf numFmtId="0" fontId="2" fillId="0" borderId="24" xfId="0" applyFont="1" applyBorder="1"/>
    <xf numFmtId="0" fontId="0" fillId="8" borderId="52" xfId="0" applyFill="1" applyBorder="1" applyAlignment="1">
      <alignment horizontal="center" vertical="center"/>
    </xf>
    <xf numFmtId="0" fontId="0" fillId="11" borderId="52" xfId="0" applyFill="1" applyBorder="1" applyAlignment="1">
      <alignment horizontal="center" vertical="center"/>
    </xf>
    <xf numFmtId="0" fontId="0" fillId="4" borderId="3" xfId="0" applyFill="1" applyBorder="1" applyAlignment="1">
      <alignment horizontal="center"/>
    </xf>
    <xf numFmtId="0" fontId="0" fillId="4" borderId="33" xfId="0" applyFill="1" applyBorder="1" applyAlignment="1">
      <alignment horizontal="center"/>
    </xf>
    <xf numFmtId="0" fontId="0" fillId="11" borderId="42" xfId="0" applyFill="1" applyBorder="1" applyAlignment="1">
      <alignment horizontal="right"/>
    </xf>
    <xf numFmtId="0" fontId="5" fillId="0" borderId="1" xfId="0" applyFont="1" applyBorder="1"/>
    <xf numFmtId="0" fontId="4" fillId="11" borderId="36" xfId="0" applyFont="1" applyFill="1" applyBorder="1" applyAlignment="1">
      <alignment horizontal="center" vertical="center"/>
    </xf>
    <xf numFmtId="0" fontId="0" fillId="0" borderId="0" xfId="0" applyAlignment="1">
      <alignment horizontal="right"/>
    </xf>
    <xf numFmtId="0" fontId="0" fillId="8" borderId="35" xfId="0" applyFill="1" applyBorder="1" applyAlignment="1">
      <alignment horizontal="right" vertical="center"/>
    </xf>
    <xf numFmtId="0" fontId="4" fillId="0" borderId="0" xfId="0" applyFont="1" applyAlignment="1">
      <alignment horizontal="center" vertical="center"/>
    </xf>
    <xf numFmtId="0" fontId="7" fillId="0" borderId="0" xfId="0" applyFont="1"/>
    <xf numFmtId="0" fontId="10" fillId="0" borderId="0" xfId="0" applyFont="1"/>
    <xf numFmtId="0" fontId="11" fillId="0" borderId="0" xfId="0" applyFont="1" applyAlignment="1">
      <alignment horizontal="center" vertical="center"/>
    </xf>
    <xf numFmtId="0" fontId="9" fillId="0" borderId="0" xfId="0" applyFont="1"/>
    <xf numFmtId="0" fontId="8" fillId="0" borderId="0" xfId="0" applyFont="1"/>
    <xf numFmtId="0" fontId="0" fillId="4" borderId="31" xfId="0" applyFill="1" applyBorder="1" applyAlignment="1">
      <alignment horizontal="center" vertical="center" wrapText="1"/>
    </xf>
    <xf numFmtId="0" fontId="0" fillId="7"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3" fillId="15" borderId="1" xfId="0" applyFont="1" applyFill="1" applyBorder="1" applyAlignment="1">
      <alignment horizontal="center" vertical="center" wrapText="1"/>
    </xf>
    <xf numFmtId="0" fontId="0" fillId="15" borderId="1" xfId="0" applyFill="1" applyBorder="1"/>
    <xf numFmtId="0" fontId="16" fillId="11" borderId="35" xfId="0" applyFont="1" applyFill="1" applyBorder="1"/>
    <xf numFmtId="0" fontId="16" fillId="8" borderId="35" xfId="0" applyFont="1" applyFill="1" applyBorder="1"/>
    <xf numFmtId="0" fontId="16" fillId="8" borderId="36" xfId="0" applyFont="1" applyFill="1" applyBorder="1"/>
    <xf numFmtId="0" fontId="0" fillId="18" borderId="49" xfId="0" applyFill="1" applyBorder="1" applyAlignment="1">
      <alignment horizontal="center"/>
    </xf>
    <xf numFmtId="0" fontId="0" fillId="16" borderId="49" xfId="0" applyFill="1" applyBorder="1" applyAlignment="1">
      <alignment horizontal="center"/>
    </xf>
    <xf numFmtId="0" fontId="0" fillId="16" borderId="48" xfId="0" applyFill="1" applyBorder="1" applyAlignment="1">
      <alignment horizontal="center"/>
    </xf>
    <xf numFmtId="0" fontId="13" fillId="0" borderId="0" xfId="0" applyFont="1" applyAlignment="1">
      <alignment horizontal="center" vertical="center"/>
    </xf>
    <xf numFmtId="0" fontId="17" fillId="0" borderId="1" xfId="0" applyFont="1" applyBorder="1"/>
    <xf numFmtId="0" fontId="6" fillId="0" borderId="0" xfId="0" applyFont="1"/>
    <xf numFmtId="0" fontId="6" fillId="0" borderId="1" xfId="0" applyFont="1" applyBorder="1"/>
    <xf numFmtId="0" fontId="17" fillId="0" borderId="2" xfId="0" applyFont="1" applyBorder="1"/>
    <xf numFmtId="0" fontId="17" fillId="0" borderId="56" xfId="0" applyFont="1" applyBorder="1"/>
    <xf numFmtId="0" fontId="0" fillId="0" borderId="63" xfId="0" applyBorder="1"/>
    <xf numFmtId="0" fontId="3" fillId="0" borderId="4" xfId="0" applyFont="1" applyBorder="1"/>
    <xf numFmtId="0" fontId="16" fillId="11" borderId="36" xfId="0" applyFont="1" applyFill="1" applyBorder="1"/>
    <xf numFmtId="0" fontId="7" fillId="11" borderId="36" xfId="0" applyFont="1" applyFill="1" applyBorder="1"/>
    <xf numFmtId="0" fontId="10" fillId="8" borderId="36" xfId="0" applyFont="1" applyFill="1" applyBorder="1"/>
    <xf numFmtId="0" fontId="17" fillId="0" borderId="0" xfId="0" applyFont="1"/>
    <xf numFmtId="0" fontId="10" fillId="8" borderId="42" xfId="0" applyFont="1" applyFill="1" applyBorder="1"/>
    <xf numFmtId="0" fontId="0" fillId="0" borderId="24" xfId="0" applyBorder="1"/>
    <xf numFmtId="0" fontId="0" fillId="0" borderId="42" xfId="0" applyBorder="1"/>
    <xf numFmtId="0" fontId="17" fillId="0" borderId="19" xfId="0" applyFont="1" applyBorder="1"/>
    <xf numFmtId="0" fontId="18" fillId="0" borderId="0" xfId="41" applyFont="1"/>
    <xf numFmtId="0" fontId="18" fillId="0" borderId="2" xfId="41" applyFont="1" applyBorder="1"/>
    <xf numFmtId="0" fontId="17" fillId="0" borderId="4" xfId="0" applyFont="1" applyBorder="1"/>
    <xf numFmtId="0" fontId="17" fillId="0" borderId="3" xfId="0" applyFont="1" applyBorder="1"/>
    <xf numFmtId="0" fontId="0" fillId="50" borderId="1" xfId="0" applyFill="1" applyBorder="1"/>
    <xf numFmtId="0" fontId="0" fillId="50" borderId="0" xfId="0" applyFill="1"/>
    <xf numFmtId="0" fontId="0" fillId="50" borderId="4" xfId="0" applyFill="1" applyBorder="1"/>
    <xf numFmtId="0" fontId="17" fillId="50" borderId="28" xfId="0" applyFont="1" applyFill="1" applyBorder="1"/>
    <xf numFmtId="0" fontId="17" fillId="50" borderId="1" xfId="0" applyFont="1" applyFill="1" applyBorder="1"/>
    <xf numFmtId="0" fontId="17" fillId="50" borderId="2" xfId="0" applyFont="1" applyFill="1" applyBorder="1"/>
    <xf numFmtId="0" fontId="0" fillId="50" borderId="2" xfId="0" applyFill="1" applyBorder="1"/>
    <xf numFmtId="0" fontId="17" fillId="50" borderId="3" xfId="0" applyFont="1" applyFill="1" applyBorder="1"/>
    <xf numFmtId="0" fontId="16" fillId="0" borderId="1" xfId="0" applyFont="1" applyBorder="1"/>
    <xf numFmtId="0" fontId="7" fillId="8" borderId="42" xfId="0" applyFont="1" applyFill="1" applyBorder="1"/>
    <xf numFmtId="0" fontId="17" fillId="0" borderId="24" xfId="0" applyFont="1" applyBorder="1"/>
    <xf numFmtId="0" fontId="0" fillId="0" borderId="73" xfId="0" applyBorder="1"/>
    <xf numFmtId="0" fontId="0" fillId="51" borderId="3" xfId="0" applyFill="1" applyBorder="1"/>
    <xf numFmtId="0" fontId="0" fillId="51" borderId="35" xfId="0" applyFill="1" applyBorder="1" applyAlignment="1">
      <alignment horizontal="right"/>
    </xf>
    <xf numFmtId="0" fontId="0" fillId="51" borderId="35" xfId="0" applyFill="1" applyBorder="1"/>
    <xf numFmtId="0" fontId="0" fillId="51" borderId="1" xfId="0" applyFill="1" applyBorder="1"/>
    <xf numFmtId="0" fontId="16" fillId="51" borderId="1" xfId="0" applyFont="1" applyFill="1" applyBorder="1" applyAlignment="1">
      <alignment horizontal="right"/>
    </xf>
    <xf numFmtId="0" fontId="0" fillId="51" borderId="1" xfId="0" applyFill="1" applyBorder="1" applyAlignment="1">
      <alignment horizontal="right"/>
    </xf>
    <xf numFmtId="0" fontId="0" fillId="51" borderId="4" xfId="0" applyFill="1" applyBorder="1"/>
    <xf numFmtId="0" fontId="0" fillId="51" borderId="42" xfId="0" applyFill="1" applyBorder="1" applyAlignment="1">
      <alignment horizontal="right"/>
    </xf>
    <xf numFmtId="0" fontId="0" fillId="51" borderId="35" xfId="0" applyFill="1" applyBorder="1" applyAlignment="1">
      <alignment horizontal="center" vertical="center"/>
    </xf>
    <xf numFmtId="0" fontId="0" fillId="51" borderId="2" xfId="0" applyFill="1" applyBorder="1"/>
    <xf numFmtId="0" fontId="0" fillId="0" borderId="5" xfId="0" applyBorder="1"/>
    <xf numFmtId="0" fontId="17" fillId="0" borderId="5" xfId="0" applyFont="1" applyBorder="1"/>
    <xf numFmtId="0" fontId="0" fillId="0" borderId="23" xfId="0" applyBorder="1"/>
    <xf numFmtId="0" fontId="0" fillId="4" borderId="5" xfId="0" applyFill="1" applyBorder="1" applyAlignment="1">
      <alignment horizontal="center" vertical="center" wrapText="1"/>
    </xf>
    <xf numFmtId="0" fontId="4" fillId="0" borderId="43" xfId="0" applyFont="1" applyBorder="1"/>
    <xf numFmtId="0" fontId="0" fillId="4" borderId="8" xfId="0" applyFill="1" applyBorder="1" applyAlignment="1">
      <alignment horizontal="center" vertical="center" wrapText="1"/>
    </xf>
    <xf numFmtId="0" fontId="0" fillId="10" borderId="39" xfId="0" applyFill="1" applyBorder="1" applyAlignment="1">
      <alignment horizontal="center" vertical="center"/>
    </xf>
    <xf numFmtId="0" fontId="4" fillId="0" borderId="12" xfId="0" applyFont="1" applyBorder="1"/>
    <xf numFmtId="0" fontId="0" fillId="7" borderId="35" xfId="0" applyFill="1" applyBorder="1"/>
    <xf numFmtId="0" fontId="18" fillId="0" borderId="19" xfId="41" applyFont="1" applyBorder="1"/>
    <xf numFmtId="0" fontId="5" fillId="0" borderId="19" xfId="0" applyFont="1" applyBorder="1"/>
    <xf numFmtId="2" fontId="0" fillId="0" borderId="0" xfId="0" applyNumberFormat="1"/>
    <xf numFmtId="2" fontId="0" fillId="4" borderId="33" xfId="0" applyNumberFormat="1" applyFill="1" applyBorder="1" applyAlignment="1">
      <alignment horizontal="center" vertical="center"/>
    </xf>
    <xf numFmtId="2" fontId="0" fillId="4" borderId="31" xfId="0" applyNumberFormat="1" applyFill="1" applyBorder="1" applyAlignment="1">
      <alignment horizontal="center" vertical="center"/>
    </xf>
    <xf numFmtId="2" fontId="0" fillId="4" borderId="31" xfId="0" applyNumberFormat="1" applyFill="1" applyBorder="1" applyAlignment="1">
      <alignment horizontal="center" vertical="center" wrapText="1"/>
    </xf>
    <xf numFmtId="2" fontId="0" fillId="4" borderId="5" xfId="0" applyNumberFormat="1" applyFill="1" applyBorder="1" applyAlignment="1">
      <alignment horizontal="center" vertical="center" wrapText="1"/>
    </xf>
    <xf numFmtId="2" fontId="0" fillId="0" borderId="3" xfId="0" applyNumberFormat="1" applyBorder="1"/>
    <xf numFmtId="2" fontId="0" fillId="0" borderId="1" xfId="0" applyNumberFormat="1" applyBorder="1"/>
    <xf numFmtId="2" fontId="0" fillId="0" borderId="19" xfId="0" applyNumberFormat="1" applyBorder="1"/>
    <xf numFmtId="2" fontId="4" fillId="0" borderId="1" xfId="0" applyNumberFormat="1" applyFont="1" applyBorder="1"/>
    <xf numFmtId="2" fontId="4" fillId="0" borderId="43" xfId="0" applyNumberFormat="1" applyFont="1" applyBorder="1"/>
    <xf numFmtId="2" fontId="4" fillId="0" borderId="0" xfId="0" applyNumberFormat="1" applyFont="1"/>
    <xf numFmtId="2" fontId="0" fillId="4" borderId="6" xfId="0" applyNumberFormat="1" applyFill="1" applyBorder="1" applyAlignment="1">
      <alignment horizontal="center" vertical="center"/>
    </xf>
    <xf numFmtId="2" fontId="0" fillId="0" borderId="12" xfId="0" applyNumberFormat="1" applyBorder="1"/>
    <xf numFmtId="2" fontId="0" fillId="0" borderId="2" xfId="0" applyNumberFormat="1" applyBorder="1"/>
    <xf numFmtId="2" fontId="0" fillId="4" borderId="8" xfId="0" applyNumberFormat="1" applyFill="1" applyBorder="1" applyAlignment="1">
      <alignment horizontal="center" vertical="center" wrapText="1"/>
    </xf>
    <xf numFmtId="2" fontId="17" fillId="0" borderId="0" xfId="0" applyNumberFormat="1" applyFont="1"/>
    <xf numFmtId="0" fontId="0" fillId="0" borderId="1" xfId="0" quotePrefix="1" applyBorder="1" applyAlignment="1">
      <alignment horizontal="center" vertical="center"/>
    </xf>
    <xf numFmtId="164" fontId="0" fillId="0" borderId="33" xfId="0" applyNumberFormat="1" applyBorder="1" applyAlignment="1">
      <alignment horizontal="center"/>
    </xf>
    <xf numFmtId="164" fontId="0" fillId="0" borderId="31" xfId="0" applyNumberFormat="1" applyBorder="1" applyAlignment="1">
      <alignment horizontal="center"/>
    </xf>
    <xf numFmtId="43" fontId="0" fillId="0" borderId="2" xfId="43" applyFont="1" applyBorder="1"/>
    <xf numFmtId="0" fontId="0" fillId="4" borderId="33" xfId="0" applyFill="1" applyBorder="1" applyAlignment="1">
      <alignment horizontal="center" vertical="center" wrapText="1"/>
    </xf>
    <xf numFmtId="0" fontId="0" fillId="4" borderId="31" xfId="0" applyFill="1" applyBorder="1" applyAlignment="1">
      <alignment vertical="center" wrapText="1"/>
    </xf>
    <xf numFmtId="0" fontId="0" fillId="4" borderId="5" xfId="0" applyFill="1" applyBorder="1" applyAlignment="1">
      <alignment vertical="center" wrapText="1"/>
    </xf>
    <xf numFmtId="0" fontId="0" fillId="4" borderId="10" xfId="0" applyFill="1" applyBorder="1" applyAlignment="1">
      <alignment vertical="center" wrapText="1"/>
    </xf>
    <xf numFmtId="0" fontId="36" fillId="8" borderId="1" xfId="0" applyFont="1" applyFill="1" applyBorder="1"/>
    <xf numFmtId="0" fontId="2" fillId="3" borderId="1" xfId="0" applyFont="1" applyFill="1" applyBorder="1"/>
    <xf numFmtId="0" fontId="2" fillId="5" borderId="1" xfId="0" applyFont="1" applyFill="1" applyBorder="1"/>
    <xf numFmtId="0" fontId="0" fillId="4" borderId="37" xfId="0" applyFill="1" applyBorder="1" applyAlignment="1">
      <alignment horizontal="center" vertical="center" wrapText="1"/>
    </xf>
    <xf numFmtId="0" fontId="0" fillId="4" borderId="7" xfId="0" applyFill="1" applyBorder="1" applyAlignment="1">
      <alignment horizontal="center" vertical="center" wrapText="1"/>
    </xf>
    <xf numFmtId="9" fontId="0" fillId="0" borderId="3" xfId="44" applyFont="1" applyBorder="1"/>
    <xf numFmtId="9" fontId="0" fillId="0" borderId="13" xfId="44" applyFont="1" applyBorder="1"/>
    <xf numFmtId="43" fontId="0" fillId="0" borderId="0" xfId="43" applyFont="1"/>
    <xf numFmtId="43" fontId="0" fillId="4" borderId="37" xfId="43" applyFont="1" applyFill="1" applyBorder="1" applyAlignment="1">
      <alignment horizontal="center" vertical="center" wrapText="1"/>
    </xf>
    <xf numFmtId="43" fontId="0" fillId="0" borderId="3" xfId="43" applyFont="1" applyBorder="1"/>
    <xf numFmtId="43" fontId="0" fillId="0" borderId="27" xfId="43" applyFont="1" applyBorder="1"/>
    <xf numFmtId="0" fontId="0" fillId="51" borderId="50" xfId="0" applyFill="1" applyBorder="1" applyAlignment="1">
      <alignment horizontal="right"/>
    </xf>
    <xf numFmtId="0" fontId="0" fillId="11" borderId="74" xfId="0" applyFill="1" applyBorder="1"/>
    <xf numFmtId="0" fontId="0" fillId="8" borderId="1" xfId="0" applyFill="1" applyBorder="1"/>
    <xf numFmtId="0" fontId="0" fillId="8" borderId="4" xfId="0" applyFill="1" applyBorder="1"/>
    <xf numFmtId="0" fontId="36" fillId="8" borderId="0" xfId="0" applyFont="1" applyFill="1"/>
    <xf numFmtId="0" fontId="2" fillId="3" borderId="0" xfId="0" applyFont="1" applyFill="1"/>
    <xf numFmtId="43" fontId="0" fillId="0" borderId="19" xfId="43" applyFont="1" applyBorder="1"/>
    <xf numFmtId="43" fontId="0" fillId="0" borderId="28" xfId="43" applyFont="1" applyBorder="1"/>
    <xf numFmtId="0" fontId="0" fillId="4" borderId="5" xfId="0" applyFill="1" applyBorder="1" applyAlignment="1">
      <alignment horizontal="center" vertical="center"/>
    </xf>
    <xf numFmtId="0" fontId="36" fillId="8" borderId="3" xfId="0" applyFont="1" applyFill="1" applyBorder="1"/>
    <xf numFmtId="0" fontId="0" fillId="0" borderId="33" xfId="0" applyBorder="1"/>
    <xf numFmtId="0" fontId="2" fillId="5" borderId="3" xfId="0" applyFont="1" applyFill="1" applyBorder="1"/>
    <xf numFmtId="0" fontId="9" fillId="0" borderId="1" xfId="0" applyFont="1" applyBorder="1"/>
    <xf numFmtId="0" fontId="2" fillId="3" borderId="3" xfId="0" applyFont="1" applyFill="1" applyBorder="1"/>
    <xf numFmtId="0" fontId="0" fillId="51" borderId="30" xfId="0" applyFill="1" applyBorder="1"/>
    <xf numFmtId="10" fontId="0" fillId="0" borderId="0" xfId="44" applyNumberFormat="1" applyFont="1"/>
    <xf numFmtId="2" fontId="0" fillId="50" borderId="6" xfId="0" applyNumberFormat="1" applyFill="1" applyBorder="1" applyAlignment="1">
      <alignment horizontal="center"/>
    </xf>
    <xf numFmtId="0" fontId="0" fillId="50" borderId="19" xfId="0" applyFill="1" applyBorder="1"/>
    <xf numFmtId="0" fontId="17" fillId="52" borderId="38" xfId="0" applyFont="1" applyFill="1" applyBorder="1" applyAlignment="1">
      <alignment horizontal="center" vertical="center"/>
    </xf>
    <xf numFmtId="0" fontId="17" fillId="53" borderId="34" xfId="0" applyFont="1" applyFill="1" applyBorder="1" applyAlignment="1">
      <alignment vertical="center"/>
    </xf>
    <xf numFmtId="0" fontId="17" fillId="54" borderId="34" xfId="0" applyFont="1" applyFill="1" applyBorder="1" applyAlignment="1">
      <alignment horizontal="center" vertical="center" wrapText="1"/>
    </xf>
    <xf numFmtId="0" fontId="17" fillId="55" borderId="35" xfId="0" applyFont="1" applyFill="1" applyBorder="1"/>
    <xf numFmtId="0" fontId="17" fillId="56" borderId="35" xfId="0" applyFont="1" applyFill="1" applyBorder="1"/>
    <xf numFmtId="0" fontId="17" fillId="57" borderId="2" xfId="0" applyFont="1" applyFill="1" applyBorder="1"/>
    <xf numFmtId="0" fontId="17" fillId="58" borderId="35" xfId="0" applyFont="1" applyFill="1" applyBorder="1"/>
    <xf numFmtId="0" fontId="17" fillId="55" borderId="36" xfId="0" applyFont="1" applyFill="1" applyBorder="1"/>
    <xf numFmtId="0" fontId="17" fillId="0" borderId="3" xfId="0" applyFont="1" applyBorder="1" applyAlignment="1">
      <alignment horizontal="center"/>
    </xf>
    <xf numFmtId="0" fontId="17" fillId="55" borderId="35" xfId="0" applyFont="1" applyFill="1" applyBorder="1" applyAlignment="1">
      <alignment horizontal="right"/>
    </xf>
    <xf numFmtId="0" fontId="17" fillId="0" borderId="11" xfId="0" applyFont="1" applyBorder="1"/>
    <xf numFmtId="10" fontId="17" fillId="0" borderId="3" xfId="0" applyNumberFormat="1" applyFont="1" applyBorder="1"/>
    <xf numFmtId="0" fontId="17" fillId="56" borderId="36" xfId="0" applyFont="1" applyFill="1" applyBorder="1"/>
    <xf numFmtId="0" fontId="17" fillId="52" borderId="6" xfId="0" applyFont="1" applyFill="1" applyBorder="1" applyAlignment="1">
      <alignment horizontal="center" vertical="center"/>
    </xf>
    <xf numFmtId="10" fontId="0" fillId="0" borderId="1" xfId="44" applyNumberFormat="1" applyFont="1" applyFill="1" applyBorder="1" applyAlignment="1">
      <alignment horizontal="center"/>
    </xf>
    <xf numFmtId="10" fontId="0" fillId="0" borderId="3" xfId="44" applyNumberFormat="1" applyFont="1" applyBorder="1"/>
    <xf numFmtId="10" fontId="0" fillId="0" borderId="2" xfId="44" applyNumberFormat="1" applyFont="1" applyBorder="1"/>
    <xf numFmtId="10" fontId="0" fillId="4" borderId="37" xfId="44" applyNumberFormat="1" applyFont="1" applyFill="1" applyBorder="1" applyAlignment="1">
      <alignment horizontal="center" vertical="center"/>
    </xf>
    <xf numFmtId="10" fontId="0" fillId="4" borderId="2" xfId="44" applyNumberFormat="1" applyFont="1" applyFill="1" applyBorder="1" applyAlignment="1">
      <alignment horizontal="center" vertical="center"/>
    </xf>
    <xf numFmtId="10" fontId="0" fillId="4" borderId="6" xfId="44" applyNumberFormat="1" applyFont="1" applyFill="1" applyBorder="1" applyAlignment="1">
      <alignment horizontal="center" vertical="center"/>
    </xf>
    <xf numFmtId="10" fontId="17" fillId="52" borderId="6" xfId="0" applyNumberFormat="1" applyFont="1" applyFill="1" applyBorder="1" applyAlignment="1">
      <alignment horizontal="center" vertical="center"/>
    </xf>
    <xf numFmtId="10" fontId="17" fillId="0" borderId="2" xfId="0" applyNumberFormat="1" applyFont="1" applyBorder="1"/>
    <xf numFmtId="0" fontId="37" fillId="0" borderId="11" xfId="0" applyFont="1" applyBorder="1"/>
    <xf numFmtId="2" fontId="0" fillId="0" borderId="3" xfId="0" applyNumberFormat="1" applyBorder="1" applyAlignment="1">
      <alignment horizontal="center" vertical="center"/>
    </xf>
    <xf numFmtId="0" fontId="2" fillId="11" borderId="36" xfId="0" applyFont="1" applyFill="1" applyBorder="1"/>
    <xf numFmtId="0" fontId="6" fillId="10" borderId="34" xfId="0" applyFont="1" applyFill="1" applyBorder="1" applyAlignment="1">
      <alignment vertical="center"/>
    </xf>
    <xf numFmtId="0" fontId="0" fillId="4" borderId="38" xfId="0" applyFill="1" applyBorder="1" applyAlignment="1">
      <alignment horizontal="center" vertical="center" wrapText="1"/>
    </xf>
    <xf numFmtId="0" fontId="0" fillId="11" borderId="11" xfId="0" applyFill="1" applyBorder="1"/>
    <xf numFmtId="0" fontId="0" fillId="8" borderId="12" xfId="0" applyFill="1" applyBorder="1"/>
    <xf numFmtId="0" fontId="0" fillId="11" borderId="13" xfId="0" applyFill="1" applyBorder="1"/>
    <xf numFmtId="0" fontId="0" fillId="8" borderId="16" xfId="0" applyFill="1" applyBorder="1"/>
    <xf numFmtId="0" fontId="0" fillId="11" borderId="50" xfId="0" applyFill="1" applyBorder="1" applyAlignment="1">
      <alignment horizontal="center" vertical="center"/>
    </xf>
    <xf numFmtId="0" fontId="0" fillId="10" borderId="40" xfId="0" applyFill="1" applyBorder="1" applyAlignment="1">
      <alignment horizontal="center" vertical="center"/>
    </xf>
    <xf numFmtId="0" fontId="4" fillId="11" borderId="51" xfId="0" applyFont="1" applyFill="1" applyBorder="1" applyAlignment="1">
      <alignment horizontal="center" vertical="center"/>
    </xf>
    <xf numFmtId="0" fontId="0" fillId="11" borderId="51" xfId="0" applyFill="1" applyBorder="1" applyAlignment="1">
      <alignment horizontal="center" vertical="center"/>
    </xf>
    <xf numFmtId="0" fontId="0" fillId="11" borderId="51" xfId="0" applyFill="1" applyBorder="1" applyAlignment="1">
      <alignment horizontal="center"/>
    </xf>
    <xf numFmtId="0" fontId="0" fillId="8" borderId="52" xfId="0" applyFill="1" applyBorder="1"/>
    <xf numFmtId="0" fontId="0" fillId="11" borderId="52" xfId="0" applyFill="1" applyBorder="1"/>
    <xf numFmtId="0" fontId="0" fillId="8" borderId="3" xfId="0" applyFill="1" applyBorder="1"/>
    <xf numFmtId="2" fontId="0" fillId="0" borderId="0" xfId="0" applyNumberFormat="1" applyAlignment="1">
      <alignment horizontal="center"/>
    </xf>
    <xf numFmtId="164" fontId="0" fillId="0" borderId="1" xfId="0" applyNumberFormat="1" applyBorder="1" applyAlignment="1">
      <alignment horizontal="center"/>
    </xf>
    <xf numFmtId="2" fontId="0" fillId="50" borderId="2" xfId="0" applyNumberFormat="1" applyFill="1" applyBorder="1" applyAlignment="1">
      <alignment horizontal="center"/>
    </xf>
    <xf numFmtId="2" fontId="0" fillId="0" borderId="2" xfId="0" applyNumberFormat="1" applyBorder="1" applyAlignment="1">
      <alignment horizontal="center"/>
    </xf>
    <xf numFmtId="2" fontId="0" fillId="0" borderId="24" xfId="0" applyNumberFormat="1" applyBorder="1"/>
    <xf numFmtId="0" fontId="0" fillId="9" borderId="75" xfId="0" applyFill="1" applyBorder="1" applyAlignment="1">
      <alignment horizontal="center" vertical="center" wrapText="1"/>
    </xf>
    <xf numFmtId="0" fontId="0" fillId="11" borderId="1" xfId="0" applyFill="1" applyBorder="1" applyAlignment="1">
      <alignment horizontal="center" vertical="center"/>
    </xf>
    <xf numFmtId="0" fontId="0" fillId="8" borderId="1" xfId="0" applyFill="1"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17" fillId="11" borderId="35" xfId="0" applyFont="1" applyFill="1" applyBorder="1" applyAlignment="1">
      <alignment horizontal="center" vertical="center"/>
    </xf>
    <xf numFmtId="0" fontId="17" fillId="11" borderId="36" xfId="0" applyFont="1" applyFill="1" applyBorder="1" applyAlignment="1">
      <alignment horizontal="center" vertical="center"/>
    </xf>
    <xf numFmtId="0" fontId="17" fillId="8" borderId="36" xfId="0" applyFont="1" applyFill="1" applyBorder="1" applyAlignment="1">
      <alignment horizontal="center" vertical="center"/>
    </xf>
    <xf numFmtId="10" fontId="38" fillId="0" borderId="0" xfId="0" applyNumberFormat="1" applyFont="1"/>
    <xf numFmtId="0" fontId="0" fillId="0" borderId="1" xfId="0" applyBorder="1" applyAlignment="1">
      <alignment horizontal="center"/>
    </xf>
    <xf numFmtId="0" fontId="0" fillId="0" borderId="19" xfId="0" applyBorder="1" applyAlignment="1">
      <alignment horizontal="center"/>
    </xf>
    <xf numFmtId="0" fontId="0" fillId="4" borderId="34" xfId="0" applyFill="1" applyBorder="1" applyAlignment="1">
      <alignment horizontal="center" vertical="center"/>
    </xf>
    <xf numFmtId="10" fontId="38" fillId="0" borderId="46" xfId="0" applyNumberFormat="1" applyFont="1" applyBorder="1"/>
    <xf numFmtId="0" fontId="0" fillId="9" borderId="21" xfId="0" applyFill="1" applyBorder="1" applyAlignment="1">
      <alignment horizontal="center" vertical="center" wrapText="1"/>
    </xf>
    <xf numFmtId="0" fontId="0" fillId="8" borderId="34" xfId="0" applyFill="1" applyBorder="1"/>
    <xf numFmtId="0" fontId="0" fillId="0" borderId="15" xfId="0" applyBorder="1" applyAlignment="1">
      <alignment horizontal="center" vertical="center"/>
    </xf>
    <xf numFmtId="0" fontId="0" fillId="11" borderId="42" xfId="0" applyFill="1" applyBorder="1" applyAlignment="1">
      <alignment horizontal="right" vertical="center"/>
    </xf>
    <xf numFmtId="0" fontId="0" fillId="8" borderId="42" xfId="0" applyFill="1" applyBorder="1" applyAlignment="1">
      <alignment horizontal="right" vertical="center"/>
    </xf>
    <xf numFmtId="0" fontId="17" fillId="56" borderId="35" xfId="0" applyFont="1" applyFill="1" applyBorder="1" applyAlignment="1">
      <alignment horizontal="right"/>
    </xf>
    <xf numFmtId="10" fontId="0" fillId="0" borderId="19" xfId="44" applyNumberFormat="1" applyFont="1" applyBorder="1"/>
    <xf numFmtId="10" fontId="0" fillId="0" borderId="24" xfId="44" applyNumberFormat="1" applyFont="1" applyBorder="1"/>
    <xf numFmtId="0" fontId="36" fillId="8" borderId="30" xfId="0" applyFont="1" applyFill="1" applyBorder="1"/>
    <xf numFmtId="0" fontId="0" fillId="10" borderId="75" xfId="0" applyFill="1" applyBorder="1" applyAlignment="1">
      <alignment horizontal="center" vertical="center" wrapText="1"/>
    </xf>
    <xf numFmtId="0" fontId="2" fillId="8" borderId="46" xfId="0" applyFont="1" applyFill="1" applyBorder="1"/>
    <xf numFmtId="0" fontId="2" fillId="8" borderId="52" xfId="0" applyFont="1" applyFill="1" applyBorder="1"/>
    <xf numFmtId="0" fontId="0" fillId="11" borderId="46" xfId="0" applyFill="1" applyBorder="1"/>
    <xf numFmtId="0" fontId="17" fillId="57" borderId="11" xfId="0" applyFont="1" applyFill="1" applyBorder="1" applyAlignment="1">
      <alignment horizontal="center"/>
    </xf>
    <xf numFmtId="0" fontId="0" fillId="8" borderId="51" xfId="0" applyFill="1" applyBorder="1"/>
    <xf numFmtId="0" fontId="0" fillId="8" borderId="50" xfId="0" applyFill="1" applyBorder="1"/>
    <xf numFmtId="0" fontId="0" fillId="8" borderId="76" xfId="0" applyFill="1" applyBorder="1"/>
    <xf numFmtId="0" fontId="0" fillId="8" borderId="41" xfId="0" applyFill="1" applyBorder="1"/>
    <xf numFmtId="0" fontId="9" fillId="0" borderId="2" xfId="0" applyFont="1" applyBorder="1"/>
    <xf numFmtId="0" fontId="7" fillId="0" borderId="2" xfId="0" applyFont="1" applyBorder="1"/>
    <xf numFmtId="0" fontId="6" fillId="11" borderId="35" xfId="0" applyFont="1" applyFill="1" applyBorder="1"/>
    <xf numFmtId="0" fontId="6" fillId="8" borderId="35" xfId="0" applyFont="1" applyFill="1" applyBorder="1"/>
    <xf numFmtId="0" fontId="0" fillId="11" borderId="43" xfId="0" applyFill="1" applyBorder="1"/>
    <xf numFmtId="0" fontId="0" fillId="11" borderId="45" xfId="0" applyFill="1" applyBorder="1"/>
    <xf numFmtId="0" fontId="6" fillId="0" borderId="2" xfId="0" applyFont="1" applyBorder="1" applyAlignment="1">
      <alignment horizontal="center" vertical="center"/>
    </xf>
    <xf numFmtId="0" fontId="14" fillId="16" borderId="47" xfId="0" applyFont="1" applyFill="1" applyBorder="1" applyAlignment="1">
      <alignment horizontal="center" vertical="center"/>
    </xf>
    <xf numFmtId="0" fontId="14" fillId="16" borderId="48" xfId="0" applyFont="1" applyFill="1" applyBorder="1" applyAlignment="1">
      <alignment horizontal="center" vertical="center"/>
    </xf>
    <xf numFmtId="0" fontId="14" fillId="16" borderId="49" xfId="0" applyFont="1" applyFill="1" applyBorder="1" applyAlignment="1">
      <alignment horizontal="center" vertical="center"/>
    </xf>
    <xf numFmtId="0" fontId="14" fillId="8" borderId="47" xfId="0" applyFont="1" applyFill="1" applyBorder="1" applyAlignment="1">
      <alignment horizontal="center" vertical="center"/>
    </xf>
    <xf numFmtId="0" fontId="14" fillId="8" borderId="48" xfId="0" applyFont="1" applyFill="1" applyBorder="1" applyAlignment="1">
      <alignment horizontal="center" vertical="center"/>
    </xf>
    <xf numFmtId="0" fontId="14" fillId="8" borderId="49" xfId="0" applyFont="1" applyFill="1" applyBorder="1" applyAlignment="1">
      <alignment horizontal="center" vertical="center"/>
    </xf>
    <xf numFmtId="0" fontId="15" fillId="18" borderId="47" xfId="0" applyFont="1" applyFill="1" applyBorder="1" applyAlignment="1">
      <alignment horizontal="center" vertical="center"/>
    </xf>
    <xf numFmtId="0" fontId="15" fillId="18" borderId="48" xfId="0" applyFont="1" applyFill="1" applyBorder="1" applyAlignment="1">
      <alignment horizontal="center" vertical="center"/>
    </xf>
    <xf numFmtId="0" fontId="15" fillId="18" borderId="49" xfId="0" applyFont="1" applyFill="1" applyBorder="1" applyAlignment="1">
      <alignment horizontal="center" vertical="center"/>
    </xf>
    <xf numFmtId="0" fontId="14" fillId="11" borderId="47" xfId="0" applyFont="1" applyFill="1" applyBorder="1" applyAlignment="1">
      <alignment horizontal="center" vertical="center"/>
    </xf>
    <xf numFmtId="0" fontId="0" fillId="11" borderId="48" xfId="0" applyFill="1" applyBorder="1" applyAlignment="1">
      <alignment horizontal="center" vertical="center"/>
    </xf>
    <xf numFmtId="0" fontId="0" fillId="11" borderId="49" xfId="0" applyFill="1" applyBorder="1" applyAlignment="1">
      <alignment horizontal="center" vertical="center"/>
    </xf>
    <xf numFmtId="0" fontId="14" fillId="7" borderId="47" xfId="0"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5" fillId="5" borderId="47" xfId="0" applyFont="1" applyFill="1"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3" fillId="4" borderId="6" xfId="0" applyFont="1" applyFill="1" applyBorder="1" applyAlignment="1">
      <alignment horizontal="center" vertical="center"/>
    </xf>
    <xf numFmtId="0" fontId="13" fillId="0" borderId="5" xfId="0" applyFont="1" applyBorder="1" applyAlignment="1">
      <alignment horizontal="center" vertical="center"/>
    </xf>
    <xf numFmtId="0" fontId="14" fillId="3" borderId="47" xfId="0" applyFont="1" applyFill="1" applyBorder="1" applyAlignment="1">
      <alignment horizontal="center" vertical="center"/>
    </xf>
    <xf numFmtId="0" fontId="14" fillId="3" borderId="48" xfId="0" applyFont="1" applyFill="1" applyBorder="1" applyAlignment="1">
      <alignment horizontal="center" vertical="center"/>
    </xf>
    <xf numFmtId="0" fontId="14" fillId="0" borderId="49" xfId="0" applyFont="1" applyBorder="1" applyAlignment="1">
      <alignment horizontal="center" vertical="center"/>
    </xf>
    <xf numFmtId="0" fontId="12" fillId="6" borderId="0" xfId="0" applyFont="1" applyFill="1" applyAlignment="1">
      <alignment horizontal="center"/>
    </xf>
    <xf numFmtId="0" fontId="13" fillId="4" borderId="2" xfId="0" applyFont="1" applyFill="1" applyBorder="1" applyAlignment="1">
      <alignment horizontal="center" vertical="center"/>
    </xf>
    <xf numFmtId="0" fontId="13" fillId="0" borderId="19" xfId="0" applyFont="1" applyBorder="1" applyAlignment="1">
      <alignment horizontal="center" vertical="center"/>
    </xf>
    <xf numFmtId="0" fontId="13" fillId="4" borderId="5" xfId="0" applyFont="1" applyFill="1" applyBorder="1" applyAlignment="1">
      <alignment horizontal="center" vertical="center"/>
    </xf>
    <xf numFmtId="0" fontId="0" fillId="11" borderId="9" xfId="0" applyFill="1" applyBorder="1" applyAlignment="1">
      <alignment horizontal="center" vertical="center"/>
    </xf>
    <xf numFmtId="0" fontId="14" fillId="2" borderId="47" xfId="0" applyFont="1" applyFill="1" applyBorder="1" applyAlignment="1">
      <alignment horizontal="center" vertical="center"/>
    </xf>
    <xf numFmtId="0" fontId="0" fillId="11" borderId="21" xfId="0" applyFill="1" applyBorder="1" applyAlignment="1">
      <alignment horizontal="center" vertical="center"/>
    </xf>
    <xf numFmtId="0" fontId="0" fillId="16" borderId="48" xfId="0" applyFill="1" applyBorder="1" applyAlignment="1">
      <alignment horizontal="center" vertical="center"/>
    </xf>
    <xf numFmtId="0" fontId="0" fillId="16" borderId="49" xfId="0" applyFill="1" applyBorder="1" applyAlignment="1">
      <alignment horizontal="center"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12" fillId="6" borderId="0" xfId="0" applyFont="1" applyFill="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4" fillId="18" borderId="47" xfId="0" applyFont="1" applyFill="1" applyBorder="1" applyAlignment="1">
      <alignment horizontal="center" vertical="center"/>
    </xf>
    <xf numFmtId="0" fontId="0" fillId="18" borderId="48" xfId="0" applyFill="1" applyBorder="1" applyAlignment="1">
      <alignment vertical="center"/>
    </xf>
    <xf numFmtId="0" fontId="0" fillId="18" borderId="49" xfId="0" applyFill="1" applyBorder="1" applyAlignment="1">
      <alignment vertical="center"/>
    </xf>
    <xf numFmtId="0" fontId="14" fillId="16" borderId="49" xfId="0" applyFont="1" applyFill="1" applyBorder="1" applyAlignment="1">
      <alignment vertical="center"/>
    </xf>
    <xf numFmtId="0" fontId="14" fillId="17" borderId="47" xfId="0" applyFont="1" applyFill="1" applyBorder="1" applyAlignment="1">
      <alignment horizontal="center" vertical="center"/>
    </xf>
    <xf numFmtId="0" fontId="14" fillId="17" borderId="48" xfId="0" applyFont="1" applyFill="1" applyBorder="1" applyAlignment="1">
      <alignment horizontal="center" vertical="center"/>
    </xf>
    <xf numFmtId="0" fontId="14" fillId="17" borderId="49" xfId="0" applyFont="1" applyFill="1" applyBorder="1" applyAlignment="1">
      <alignment vertical="center"/>
    </xf>
    <xf numFmtId="0" fontId="0" fillId="0" borderId="5" xfId="0" applyBorder="1" applyAlignment="1">
      <alignment horizontal="center" vertical="center"/>
    </xf>
    <xf numFmtId="0" fontId="14" fillId="7" borderId="20" xfId="0" applyFont="1" applyFill="1" applyBorder="1" applyAlignment="1">
      <alignment horizontal="center" vertical="center"/>
    </xf>
    <xf numFmtId="0" fontId="14" fillId="7" borderId="9" xfId="0" applyFont="1" applyFill="1" applyBorder="1" applyAlignment="1">
      <alignment horizontal="center" vertical="center"/>
    </xf>
    <xf numFmtId="0" fontId="14" fillId="0" borderId="21" xfId="0" applyFont="1" applyBorder="1" applyAlignment="1">
      <alignment horizontal="center" vertical="center"/>
    </xf>
    <xf numFmtId="0" fontId="12" fillId="0" borderId="0" xfId="0" applyFont="1" applyAlignment="1">
      <alignment horizontal="center"/>
    </xf>
    <xf numFmtId="0" fontId="0" fillId="0" borderId="41" xfId="0" applyBorder="1" applyAlignment="1">
      <alignment horizontal="center" vertical="center"/>
    </xf>
    <xf numFmtId="0" fontId="13" fillId="0" borderId="41" xfId="0" applyFont="1" applyBorder="1" applyAlignment="1">
      <alignment horizontal="center" vertical="center"/>
    </xf>
    <xf numFmtId="0" fontId="14" fillId="2" borderId="48" xfId="0" applyFont="1" applyFill="1" applyBorder="1" applyAlignment="1">
      <alignment horizontal="center" vertical="center"/>
    </xf>
    <xf numFmtId="0" fontId="14" fillId="7" borderId="48" xfId="0" applyFont="1" applyFill="1" applyBorder="1" applyAlignment="1">
      <alignment horizontal="center" vertical="center"/>
    </xf>
    <xf numFmtId="0" fontId="14" fillId="18" borderId="48" xfId="0" applyFont="1" applyFill="1" applyBorder="1" applyAlignment="1">
      <alignment horizontal="center" vertical="center"/>
    </xf>
    <xf numFmtId="0" fontId="14" fillId="7" borderId="48" xfId="0" applyFont="1" applyFill="1" applyBorder="1" applyAlignment="1">
      <alignment vertical="center"/>
    </xf>
    <xf numFmtId="0" fontId="14" fillId="7" borderId="49" xfId="0" applyFont="1" applyFill="1" applyBorder="1" applyAlignment="1">
      <alignment vertical="center"/>
    </xf>
    <xf numFmtId="0" fontId="14" fillId="0" borderId="48" xfId="0" applyFont="1" applyBorder="1" applyAlignment="1">
      <alignment vertical="center"/>
    </xf>
    <xf numFmtId="0" fontId="14" fillId="0" borderId="49" xfId="0" applyFont="1" applyBorder="1" applyAlignment="1">
      <alignment vertical="center"/>
    </xf>
    <xf numFmtId="0" fontId="14" fillId="3" borderId="47" xfId="0" applyFont="1" applyFill="1" applyBorder="1" applyAlignment="1">
      <alignment horizontal="center"/>
    </xf>
    <xf numFmtId="0" fontId="14" fillId="3" borderId="48" xfId="0" applyFont="1" applyFill="1" applyBorder="1" applyAlignment="1">
      <alignment horizontal="center"/>
    </xf>
    <xf numFmtId="0" fontId="14" fillId="0" borderId="48" xfId="0" applyFont="1" applyBorder="1"/>
    <xf numFmtId="0" fontId="14" fillId="0" borderId="49" xfId="0" applyFont="1" applyBorder="1"/>
    <xf numFmtId="0" fontId="14" fillId="16" borderId="9" xfId="0" applyFont="1" applyFill="1" applyBorder="1" applyAlignment="1">
      <alignment horizontal="center" vertical="center"/>
    </xf>
    <xf numFmtId="0" fontId="14" fillId="16" borderId="21" xfId="0" applyFont="1" applyFill="1" applyBorder="1" applyAlignment="1">
      <alignment horizontal="center" vertical="center"/>
    </xf>
    <xf numFmtId="0" fontId="14" fillId="7" borderId="9" xfId="0" applyFont="1" applyFill="1" applyBorder="1" applyAlignment="1">
      <alignment vertical="center"/>
    </xf>
    <xf numFmtId="0" fontId="14" fillId="5" borderId="47" xfId="0" applyFont="1" applyFill="1" applyBorder="1" applyAlignment="1">
      <alignment horizontal="center" vertical="center"/>
    </xf>
    <xf numFmtId="0" fontId="14" fillId="5" borderId="48" xfId="0" applyFont="1" applyFill="1" applyBorder="1" applyAlignment="1">
      <alignment horizontal="center" vertical="center"/>
    </xf>
    <xf numFmtId="0" fontId="14" fillId="5" borderId="48" xfId="0" applyFont="1" applyFill="1" applyBorder="1" applyAlignment="1">
      <alignment vertical="center"/>
    </xf>
    <xf numFmtId="0" fontId="14" fillId="5" borderId="49" xfId="0" applyFont="1" applyFill="1" applyBorder="1" applyAlignment="1">
      <alignment vertical="center"/>
    </xf>
    <xf numFmtId="0" fontId="14" fillId="5" borderId="47" xfId="0" applyFont="1" applyFill="1" applyBorder="1" applyAlignment="1">
      <alignment horizontal="center"/>
    </xf>
    <xf numFmtId="0" fontId="14" fillId="5" borderId="48" xfId="0" applyFont="1" applyFill="1" applyBorder="1" applyAlignment="1">
      <alignment horizontal="center"/>
    </xf>
    <xf numFmtId="0" fontId="14" fillId="5" borderId="48" xfId="0" applyFont="1" applyFill="1" applyBorder="1"/>
    <xf numFmtId="0" fontId="14" fillId="5" borderId="49" xfId="0" applyFont="1" applyFill="1" applyBorder="1"/>
    <xf numFmtId="0" fontId="14" fillId="0" borderId="48" xfId="0" applyFont="1" applyBorder="1" applyAlignment="1">
      <alignment horizontal="center" vertical="center"/>
    </xf>
    <xf numFmtId="0" fontId="14" fillId="2" borderId="9" xfId="0" applyFont="1" applyFill="1" applyBorder="1" applyAlignment="1">
      <alignment horizontal="center" vertical="center"/>
    </xf>
    <xf numFmtId="0" fontId="14" fillId="5" borderId="49" xfId="0" applyFont="1" applyFill="1" applyBorder="1" applyAlignment="1">
      <alignment horizontal="center" vertical="center"/>
    </xf>
    <xf numFmtId="0" fontId="15" fillId="0" borderId="2" xfId="0" applyFont="1" applyBorder="1" applyAlignment="1">
      <alignment horizontal="left" vertical="center" wrapText="1"/>
    </xf>
    <xf numFmtId="0" fontId="15" fillId="0" borderId="19" xfId="0" applyFont="1" applyBorder="1" applyAlignment="1">
      <alignment horizontal="left" vertical="center" wrapText="1"/>
    </xf>
    <xf numFmtId="0" fontId="15" fillId="0" borderId="3" xfId="0" applyFont="1" applyBorder="1" applyAlignment="1">
      <alignment horizontal="left" vertical="center" wrapText="1"/>
    </xf>
  </cellXfs>
  <cellStyles count="45">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43"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E85495D8-8984-4371-AFAD-EFFA01AACD3E}"/>
    <cellStyle name="Note 2" xfId="42" xr:uid="{CB8D4834-2307-426E-A54A-34E30A2D770A}"/>
    <cellStyle name="Output" xfId="10" builtinId="21" customBuiltin="1"/>
    <cellStyle name="Percent" xfId="44" builtinId="5"/>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FFCCFF"/>
      <color rgb="FFCCECFF"/>
      <color rgb="FFFFCCCC"/>
      <color rgb="FFFF9999"/>
      <color rgb="FFFFFFCC"/>
      <color rgb="FF00FFFF"/>
      <color rgb="FFCC66FF"/>
      <color rgb="FF99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11206</xdr:colOff>
          <xdr:row>53</xdr:row>
          <xdr:rowOff>155762</xdr:rowOff>
        </xdr:from>
        <xdr:to>
          <xdr:col>2</xdr:col>
          <xdr:colOff>163606</xdr:colOff>
          <xdr:row>54</xdr:row>
          <xdr:rowOff>112059</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53</xdr:row>
          <xdr:rowOff>155762</xdr:rowOff>
        </xdr:from>
        <xdr:to>
          <xdr:col>2</xdr:col>
          <xdr:colOff>163606</xdr:colOff>
          <xdr:row>54</xdr:row>
          <xdr:rowOff>112059</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53</xdr:row>
          <xdr:rowOff>155762</xdr:rowOff>
        </xdr:from>
        <xdr:to>
          <xdr:col>2</xdr:col>
          <xdr:colOff>163606</xdr:colOff>
          <xdr:row>54</xdr:row>
          <xdr:rowOff>112059</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53</xdr:row>
          <xdr:rowOff>155762</xdr:rowOff>
        </xdr:from>
        <xdr:to>
          <xdr:col>2</xdr:col>
          <xdr:colOff>163606</xdr:colOff>
          <xdr:row>54</xdr:row>
          <xdr:rowOff>112059</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5</xdr:row>
      <xdr:rowOff>57150</xdr:rowOff>
    </xdr:from>
    <xdr:to>
      <xdr:col>13</xdr:col>
      <xdr:colOff>553701</xdr:colOff>
      <xdr:row>15</xdr:row>
      <xdr:rowOff>76482</xdr:rowOff>
    </xdr:to>
    <xdr:pic>
      <xdr:nvPicPr>
        <xdr:cNvPr id="2" name="Picture 1">
          <a:extLst>
            <a:ext uri="{FF2B5EF4-FFF2-40B4-BE49-F238E27FC236}">
              <a16:creationId xmlns:a16="http://schemas.microsoft.com/office/drawing/2014/main" id="{3E91225E-1983-9062-D686-CE2F04A81179}"/>
            </a:ext>
          </a:extLst>
        </xdr:cNvPr>
        <xdr:cNvPicPr>
          <a:picLocks noChangeAspect="1"/>
        </xdr:cNvPicPr>
      </xdr:nvPicPr>
      <xdr:blipFill>
        <a:blip xmlns:r="http://schemas.openxmlformats.org/officeDocument/2006/relationships" r:embed="rId1"/>
        <a:stretch>
          <a:fillRect/>
        </a:stretch>
      </xdr:blipFill>
      <xdr:spPr>
        <a:xfrm>
          <a:off x="504825" y="1057275"/>
          <a:ext cx="8964276" cy="2019582"/>
        </a:xfrm>
        <a:prstGeom prst="rect">
          <a:avLst/>
        </a:prstGeom>
      </xdr:spPr>
    </xdr:pic>
    <xdr:clientData/>
  </xdr:twoCellAnchor>
  <xdr:twoCellAnchor>
    <xdr:from>
      <xdr:col>6</xdr:col>
      <xdr:colOff>28575</xdr:colOff>
      <xdr:row>1</xdr:row>
      <xdr:rowOff>190500</xdr:rowOff>
    </xdr:from>
    <xdr:to>
      <xdr:col>13</xdr:col>
      <xdr:colOff>590550</xdr:colOff>
      <xdr:row>6</xdr:row>
      <xdr:rowOff>152400</xdr:rowOff>
    </xdr:to>
    <xdr:sp macro="" textlink="">
      <xdr:nvSpPr>
        <xdr:cNvPr id="3" name="TextBox 2">
          <a:extLst>
            <a:ext uri="{FF2B5EF4-FFF2-40B4-BE49-F238E27FC236}">
              <a16:creationId xmlns:a16="http://schemas.microsoft.com/office/drawing/2014/main" id="{361B616D-FCEC-B4BE-A0AE-E2F578B6E354}"/>
            </a:ext>
          </a:extLst>
        </xdr:cNvPr>
        <xdr:cNvSpPr txBox="1"/>
      </xdr:nvSpPr>
      <xdr:spPr>
        <a:xfrm>
          <a:off x="4143375" y="390525"/>
          <a:ext cx="5362575" cy="962025"/>
        </a:xfrm>
        <a:prstGeom prst="rect">
          <a:avLst/>
        </a:prstGeom>
        <a:solidFill>
          <a:srgbClr val="FF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High points are based on the accumulation of all high</a:t>
          </a:r>
          <a:r>
            <a:rPr lang="en-AU" sz="1100" baseline="0"/>
            <a:t> points earned across the season. The athlete is required to perform at a minimum standard to be eligible for high points. The spreadsheet is formulated to automatically add up the high points. For State Champs, we calculate from 25 - 1, for all other events we start at 20-1.</a:t>
          </a:r>
          <a:endParaRPr lang="en-AU" sz="1100"/>
        </a:p>
      </xdr:txBody>
    </xdr:sp>
    <xdr:clientData/>
  </xdr:twoCellAnchor>
  <xdr:twoCellAnchor>
    <xdr:from>
      <xdr:col>6</xdr:col>
      <xdr:colOff>485775</xdr:colOff>
      <xdr:row>15</xdr:row>
      <xdr:rowOff>95249</xdr:rowOff>
    </xdr:from>
    <xdr:to>
      <xdr:col>13</xdr:col>
      <xdr:colOff>533400</xdr:colOff>
      <xdr:row>22</xdr:row>
      <xdr:rowOff>38099</xdr:rowOff>
    </xdr:to>
    <xdr:sp macro="" textlink="">
      <xdr:nvSpPr>
        <xdr:cNvPr id="4" name="TextBox 3">
          <a:extLst>
            <a:ext uri="{FF2B5EF4-FFF2-40B4-BE49-F238E27FC236}">
              <a16:creationId xmlns:a16="http://schemas.microsoft.com/office/drawing/2014/main" id="{B145EAB9-0309-28EF-F43E-1069467F351A}"/>
            </a:ext>
          </a:extLst>
        </xdr:cNvPr>
        <xdr:cNvSpPr txBox="1"/>
      </xdr:nvSpPr>
      <xdr:spPr>
        <a:xfrm>
          <a:off x="4600575" y="3095624"/>
          <a:ext cx="4848225" cy="1343025"/>
        </a:xfrm>
        <a:prstGeom prst="rect">
          <a:avLst/>
        </a:prstGeom>
        <a:solidFill>
          <a:srgbClr val="99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Team Selection Points will need to added manually. We are to locate the top 2 scored for each athlete</a:t>
          </a:r>
          <a:r>
            <a:rPr lang="en-AU" sz="1100" baseline="0"/>
            <a:t> across 2 seperate events. (Note for SJ and CT at State Champs this is considered 2 different events. Dressage and Show Horse aren't). Team Selection Points will always be calculated from 20-1 therefore a maximum of 40 Total Team Points can be earned by each athlete. The athletes with 4 biggest Total Team Selection Points will be offered a spot in the nationals team for that discipline.</a:t>
          </a:r>
          <a:endParaRPr lang="en-AU" sz="1100"/>
        </a:p>
      </xdr:txBody>
    </xdr:sp>
    <xdr:clientData/>
  </xdr:twoCellAnchor>
  <xdr:twoCellAnchor editAs="oneCell">
    <xdr:from>
      <xdr:col>0</xdr:col>
      <xdr:colOff>114300</xdr:colOff>
      <xdr:row>30</xdr:row>
      <xdr:rowOff>9525</xdr:rowOff>
    </xdr:from>
    <xdr:to>
      <xdr:col>23</xdr:col>
      <xdr:colOff>430870</xdr:colOff>
      <xdr:row>47</xdr:row>
      <xdr:rowOff>152895</xdr:rowOff>
    </xdr:to>
    <xdr:pic>
      <xdr:nvPicPr>
        <xdr:cNvPr id="5" name="Picture 4">
          <a:extLst>
            <a:ext uri="{FF2B5EF4-FFF2-40B4-BE49-F238E27FC236}">
              <a16:creationId xmlns:a16="http://schemas.microsoft.com/office/drawing/2014/main" id="{D9AF75C6-7506-2472-ADDA-10B3BBFA1B40}"/>
            </a:ext>
          </a:extLst>
        </xdr:cNvPr>
        <xdr:cNvPicPr>
          <a:picLocks noChangeAspect="1"/>
        </xdr:cNvPicPr>
      </xdr:nvPicPr>
      <xdr:blipFill>
        <a:blip xmlns:r="http://schemas.openxmlformats.org/officeDocument/2006/relationships" r:embed="rId2"/>
        <a:stretch>
          <a:fillRect/>
        </a:stretch>
      </xdr:blipFill>
      <xdr:spPr>
        <a:xfrm>
          <a:off x="114300" y="6010275"/>
          <a:ext cx="16089970" cy="3543795"/>
        </a:xfrm>
        <a:prstGeom prst="rect">
          <a:avLst/>
        </a:prstGeom>
      </xdr:spPr>
    </xdr:pic>
    <xdr:clientData/>
  </xdr:twoCellAnchor>
  <xdr:twoCellAnchor>
    <xdr:from>
      <xdr:col>5</xdr:col>
      <xdr:colOff>161925</xdr:colOff>
      <xdr:row>33</xdr:row>
      <xdr:rowOff>142875</xdr:rowOff>
    </xdr:from>
    <xdr:to>
      <xdr:col>14</xdr:col>
      <xdr:colOff>609600</xdr:colOff>
      <xdr:row>40</xdr:row>
      <xdr:rowOff>180975</xdr:rowOff>
    </xdr:to>
    <xdr:sp macro="" textlink="">
      <xdr:nvSpPr>
        <xdr:cNvPr id="6" name="TextBox 5">
          <a:extLst>
            <a:ext uri="{FF2B5EF4-FFF2-40B4-BE49-F238E27FC236}">
              <a16:creationId xmlns:a16="http://schemas.microsoft.com/office/drawing/2014/main" id="{1F8E16BB-606C-5AD3-265A-98D16EE77672}"/>
            </a:ext>
          </a:extLst>
        </xdr:cNvPr>
        <xdr:cNvSpPr txBox="1"/>
      </xdr:nvSpPr>
      <xdr:spPr>
        <a:xfrm>
          <a:off x="3590925" y="6743700"/>
          <a:ext cx="661987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At State</a:t>
          </a:r>
          <a:r>
            <a:rPr lang="en-AU" sz="1100" baseline="0"/>
            <a:t> Champs we will be looking for the discipline champions and school winners. Discipline champions should be calculated via the nominate dashboard if not you can use this tab to manually calculate them.</a:t>
          </a:r>
        </a:p>
        <a:p>
          <a:endParaRPr lang="en-AU" sz="1100" baseline="0"/>
        </a:p>
        <a:p>
          <a:r>
            <a:rPr lang="en-AU" sz="1100" baseline="0"/>
            <a:t>Use this tab to calculate the school winners. Ensure you group kids from the same school together. We only use results from 1 Child/Rider combo (if they ride more than 2 horses then choose their highest accumulated amount). You then select the 4 hightes combos from each school to formulate a total. The 3 schools with the highest totals from their top 4 riders earn 1st, 2nd and 3rd place. If a school only has 3 riders but falls in the top 3 accumulated scores they can still earn their placing.</a:t>
          </a:r>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E1F5-34C6-B547-94A9-8255D16ADEB0}">
  <sheetPr codeName="Sheet1"/>
  <dimension ref="A3:BN119"/>
  <sheetViews>
    <sheetView tabSelected="1" zoomScale="68" zoomScaleNormal="68" workbookViewId="0">
      <pane xSplit="7" ySplit="5" topLeftCell="H62" activePane="bottomRight" state="frozen"/>
      <selection pane="topRight" activeCell="H1" sqref="H1"/>
      <selection pane="bottomLeft" activeCell="A6" sqref="A6"/>
      <selection pane="bottomRight" activeCell="I91" sqref="I91"/>
    </sheetView>
  </sheetViews>
  <sheetFormatPr defaultColWidth="11.25" defaultRowHeight="15.75" outlineLevelCol="1"/>
  <cols>
    <col min="1" max="1" width="14" customWidth="1"/>
    <col min="2" max="2" width="15.25" customWidth="1"/>
    <col min="3" max="3" width="24.125" customWidth="1"/>
    <col min="4" max="4" width="20.75" customWidth="1"/>
    <col min="5" max="5" width="8.625" hidden="1" customWidth="1"/>
    <col min="6" max="7" width="10.25" customWidth="1"/>
    <col min="8" max="11" width="11.25" customWidth="1" outlineLevel="1"/>
    <col min="14" max="14" width="10.25" customWidth="1" outlineLevel="1"/>
    <col min="15" max="18" width="11.875" customWidth="1" outlineLevel="1"/>
    <col min="19" max="19" width="9.375" customWidth="1" outlineLevel="1"/>
    <col min="22" max="22" width="10.25" customWidth="1" outlineLevel="1"/>
    <col min="23" max="23" width="7.625" customWidth="1" outlineLevel="1"/>
    <col min="24" max="24" width="10.875" customWidth="1" outlineLevel="1"/>
    <col min="25" max="25" width="7" customWidth="1" outlineLevel="1"/>
    <col min="26" max="26" width="14.625" customWidth="1"/>
    <col min="28" max="33" width="11.25" customWidth="1" outlineLevel="1"/>
    <col min="34" max="34" width="4.625" customWidth="1" outlineLevel="1"/>
    <col min="35" max="35" width="15.125" customWidth="1"/>
    <col min="36" max="36" width="16" customWidth="1"/>
    <col min="37" max="43" width="11.25" customWidth="1" outlineLevel="1"/>
    <col min="44" max="44" width="15.75" customWidth="1"/>
    <col min="46" max="49" width="11.25" customWidth="1" outlineLevel="1"/>
    <col min="50" max="50" width="14.375" customWidth="1"/>
    <col min="52" max="55" width="11.25" customWidth="1" outlineLevel="1"/>
    <col min="56" max="56" width="14.375" customWidth="1"/>
    <col min="57" max="57" width="17" customWidth="1"/>
    <col min="58" max="59" width="0" hidden="1" customWidth="1"/>
  </cols>
  <sheetData>
    <row r="3" spans="1:59" ht="28.5">
      <c r="A3" s="413" t="s">
        <v>0</v>
      </c>
      <c r="B3" s="413"/>
      <c r="C3" s="413"/>
      <c r="D3" s="413"/>
      <c r="E3" s="168"/>
    </row>
    <row r="4" spans="1:59" ht="24" thickBot="1">
      <c r="H4" s="410" t="s">
        <v>1</v>
      </c>
      <c r="I4" s="411"/>
      <c r="J4" s="411"/>
      <c r="K4" s="411"/>
      <c r="L4" s="411"/>
      <c r="M4" s="412"/>
      <c r="N4" s="399" t="s">
        <v>2</v>
      </c>
      <c r="O4" s="400"/>
      <c r="P4" s="400"/>
      <c r="Q4" s="400"/>
      <c r="R4" s="400"/>
      <c r="S4" s="400"/>
      <c r="T4" s="400"/>
      <c r="U4" s="401"/>
      <c r="V4" s="402" t="s">
        <v>3</v>
      </c>
      <c r="W4" s="403"/>
      <c r="X4" s="403"/>
      <c r="Y4" s="403"/>
      <c r="Z4" s="403"/>
      <c r="AA4" s="404"/>
      <c r="AB4" s="390" t="s">
        <v>4</v>
      </c>
      <c r="AC4" s="391"/>
      <c r="AD4" s="391"/>
      <c r="AE4" s="391"/>
      <c r="AF4" s="391"/>
      <c r="AG4" s="391"/>
      <c r="AH4" s="391"/>
      <c r="AI4" s="391"/>
      <c r="AJ4" s="392"/>
      <c r="AK4" s="393" t="s">
        <v>5</v>
      </c>
      <c r="AL4" s="394"/>
      <c r="AM4" s="394"/>
      <c r="AN4" s="394"/>
      <c r="AO4" s="394"/>
      <c r="AP4" s="394"/>
      <c r="AQ4" s="394"/>
      <c r="AR4" s="394"/>
      <c r="AS4" s="395"/>
      <c r="AT4" s="396" t="s">
        <v>6</v>
      </c>
      <c r="AU4" s="397"/>
      <c r="AV4" s="397"/>
      <c r="AW4" s="397"/>
      <c r="AX4" s="397"/>
      <c r="AY4" s="398"/>
      <c r="AZ4" s="405" t="s">
        <v>7</v>
      </c>
      <c r="BA4" s="406"/>
      <c r="BB4" s="406"/>
      <c r="BC4" s="406"/>
      <c r="BD4" s="406"/>
      <c r="BE4" s="407"/>
    </row>
    <row r="5" spans="1:59" s="43" customFormat="1" ht="63">
      <c r="A5" s="414" t="s">
        <v>8</v>
      </c>
      <c r="B5" s="415"/>
      <c r="C5" s="415"/>
      <c r="D5" s="415"/>
      <c r="E5" s="415"/>
      <c r="F5" s="117" t="s">
        <v>9</v>
      </c>
      <c r="G5" s="51" t="s">
        <v>10</v>
      </c>
      <c r="H5" s="59" t="s">
        <v>11</v>
      </c>
      <c r="I5" s="55" t="s">
        <v>12</v>
      </c>
      <c r="J5" s="61" t="s">
        <v>13</v>
      </c>
      <c r="K5" s="62" t="s">
        <v>14</v>
      </c>
      <c r="L5" s="97" t="s">
        <v>15</v>
      </c>
      <c r="M5" s="51" t="s">
        <v>16</v>
      </c>
      <c r="N5" s="59" t="s">
        <v>11</v>
      </c>
      <c r="O5" s="55" t="s">
        <v>17</v>
      </c>
      <c r="P5" s="61" t="s">
        <v>18</v>
      </c>
      <c r="Q5" s="55" t="s">
        <v>19</v>
      </c>
      <c r="R5" s="248" t="s">
        <v>20</v>
      </c>
      <c r="S5" s="37" t="s">
        <v>14</v>
      </c>
      <c r="T5" s="97" t="s">
        <v>15</v>
      </c>
      <c r="U5" s="51" t="s">
        <v>16</v>
      </c>
      <c r="V5" s="59" t="s">
        <v>11</v>
      </c>
      <c r="W5" s="55" t="s">
        <v>12</v>
      </c>
      <c r="X5" s="61" t="s">
        <v>13</v>
      </c>
      <c r="Y5" s="37" t="s">
        <v>14</v>
      </c>
      <c r="Z5" s="97" t="s">
        <v>15</v>
      </c>
      <c r="AA5" s="51" t="s">
        <v>16</v>
      </c>
      <c r="AB5" s="274" t="s">
        <v>483</v>
      </c>
      <c r="AC5" s="188" t="s">
        <v>484</v>
      </c>
      <c r="AD5" s="275" t="s">
        <v>485</v>
      </c>
      <c r="AE5" s="276" t="s">
        <v>486</v>
      </c>
      <c r="AF5" s="277" t="s">
        <v>487</v>
      </c>
      <c r="AG5" s="246" t="s">
        <v>488</v>
      </c>
      <c r="AH5" s="246" t="s">
        <v>489</v>
      </c>
      <c r="AI5" s="97" t="s">
        <v>15</v>
      </c>
      <c r="AJ5" s="51" t="s">
        <v>16</v>
      </c>
      <c r="AK5" s="274" t="s">
        <v>483</v>
      </c>
      <c r="AL5" s="188" t="s">
        <v>484</v>
      </c>
      <c r="AM5" s="275" t="s">
        <v>485</v>
      </c>
      <c r="AN5" s="276" t="s">
        <v>486</v>
      </c>
      <c r="AO5" s="277" t="s">
        <v>487</v>
      </c>
      <c r="AP5" s="246" t="s">
        <v>488</v>
      </c>
      <c r="AQ5" s="246" t="s">
        <v>489</v>
      </c>
      <c r="AR5" s="97" t="s">
        <v>15</v>
      </c>
      <c r="AS5" s="51" t="s">
        <v>16</v>
      </c>
      <c r="AT5" s="59" t="s">
        <v>11</v>
      </c>
      <c r="AU5" s="297" t="s">
        <v>513</v>
      </c>
      <c r="AV5" s="56" t="s">
        <v>21</v>
      </c>
      <c r="AW5" s="62" t="s">
        <v>14</v>
      </c>
      <c r="AX5" s="97" t="s">
        <v>15</v>
      </c>
      <c r="AY5" s="51" t="s">
        <v>16</v>
      </c>
      <c r="AZ5" s="59" t="s">
        <v>11</v>
      </c>
      <c r="BA5" s="297" t="s">
        <v>513</v>
      </c>
      <c r="BB5" s="56" t="s">
        <v>21</v>
      </c>
      <c r="BC5" s="62" t="s">
        <v>14</v>
      </c>
      <c r="BD5" s="97" t="s">
        <v>15</v>
      </c>
      <c r="BE5" s="51" t="s">
        <v>16</v>
      </c>
      <c r="BF5" s="43">
        <v>70</v>
      </c>
    </row>
    <row r="6" spans="1:59">
      <c r="A6" s="1" t="s">
        <v>22</v>
      </c>
      <c r="B6" s="1" t="s">
        <v>23</v>
      </c>
      <c r="C6" s="1" t="s">
        <v>24</v>
      </c>
      <c r="D6" s="1" t="s">
        <v>25</v>
      </c>
      <c r="E6" s="4" t="s">
        <v>26</v>
      </c>
      <c r="F6" s="88"/>
      <c r="G6" s="78"/>
      <c r="H6" s="19"/>
      <c r="I6" s="3"/>
      <c r="J6" s="3"/>
      <c r="K6" s="11"/>
      <c r="L6" s="88"/>
      <c r="M6" s="78"/>
      <c r="N6" s="19"/>
      <c r="O6" s="3"/>
      <c r="P6" s="3"/>
      <c r="Q6" s="3"/>
      <c r="R6" s="3"/>
      <c r="S6" s="11"/>
      <c r="T6" s="88"/>
      <c r="U6" s="78"/>
      <c r="V6" s="19"/>
      <c r="W6" s="3"/>
      <c r="X6" s="3"/>
      <c r="Y6" s="11"/>
      <c r="Z6" s="88"/>
      <c r="AA6" s="78"/>
      <c r="AB6" s="19"/>
      <c r="AC6" s="3"/>
      <c r="AD6" s="3"/>
      <c r="AE6" s="3"/>
      <c r="AF6" s="3"/>
      <c r="AG6" s="3"/>
      <c r="AH6" s="11"/>
      <c r="AI6" s="88"/>
      <c r="AJ6" s="78"/>
      <c r="AK6" s="19"/>
      <c r="AL6" s="3"/>
      <c r="AM6" s="3"/>
      <c r="AN6" s="3"/>
      <c r="AO6" s="3"/>
      <c r="AP6" s="3"/>
      <c r="AQ6" s="11"/>
      <c r="AR6" s="88"/>
      <c r="AS6" s="78"/>
      <c r="AT6" s="19"/>
      <c r="AU6" s="3"/>
      <c r="AV6" s="3"/>
      <c r="AW6" s="11"/>
      <c r="AX6" s="88"/>
      <c r="AY6" s="78"/>
      <c r="AZ6" s="19"/>
      <c r="BA6" s="3"/>
      <c r="BB6" s="3"/>
      <c r="BC6" s="11"/>
      <c r="BD6" s="88"/>
      <c r="BE6" s="78"/>
      <c r="BF6" s="300" t="s">
        <v>492</v>
      </c>
      <c r="BG6" t="str">
        <f>A6&amp;B6&amp;D6&amp;BF6&amp;$BF$5</f>
        <v>Rider First NameRider Last NameName of Pony/HorsePrimary &lt;770</v>
      </c>
    </row>
    <row r="7" spans="1:59">
      <c r="A7" s="3" t="s">
        <v>27</v>
      </c>
      <c r="B7" s="3" t="s">
        <v>28</v>
      </c>
      <c r="C7" s="202" t="s">
        <v>29</v>
      </c>
      <c r="D7" s="202" t="s">
        <v>30</v>
      </c>
      <c r="E7" s="5"/>
      <c r="F7" s="88">
        <f>SUM(T7,Z7,AI7,AR7,AX7,L7,BD7)</f>
        <v>82</v>
      </c>
      <c r="G7" s="78">
        <f>SUM(AJ7,AS7)</f>
        <v>38</v>
      </c>
      <c r="H7" s="19"/>
      <c r="I7" s="3"/>
      <c r="J7" s="3"/>
      <c r="K7" s="11"/>
      <c r="L7" s="88"/>
      <c r="M7" s="78"/>
      <c r="N7" s="19">
        <v>10</v>
      </c>
      <c r="O7" s="3">
        <v>65.3</v>
      </c>
      <c r="P7" s="3">
        <v>58.18</v>
      </c>
      <c r="Q7" s="3">
        <v>12</v>
      </c>
      <c r="R7" s="3">
        <v>58.18</v>
      </c>
      <c r="S7" s="11">
        <v>22</v>
      </c>
      <c r="T7" s="88">
        <v>0</v>
      </c>
      <c r="U7" s="78" t="s">
        <v>31</v>
      </c>
      <c r="V7" s="19">
        <v>0</v>
      </c>
      <c r="W7" s="3">
        <v>0</v>
      </c>
      <c r="X7" s="3">
        <v>67.19</v>
      </c>
      <c r="Y7" s="11">
        <v>0</v>
      </c>
      <c r="Z7" s="88">
        <v>17</v>
      </c>
      <c r="AA7" s="78">
        <v>17</v>
      </c>
      <c r="AB7" s="19">
        <v>0</v>
      </c>
      <c r="AC7" s="3">
        <v>0</v>
      </c>
      <c r="AD7" s="3">
        <v>68.540000000000006</v>
      </c>
      <c r="AE7" s="3">
        <v>0</v>
      </c>
      <c r="AF7" s="3">
        <v>46.5</v>
      </c>
      <c r="AG7" s="3">
        <v>0</v>
      </c>
      <c r="AH7" s="11">
        <v>0</v>
      </c>
      <c r="AI7" s="88">
        <v>24</v>
      </c>
      <c r="AJ7" s="78">
        <v>19</v>
      </c>
      <c r="AK7" s="19">
        <v>0</v>
      </c>
      <c r="AL7" s="3">
        <v>0</v>
      </c>
      <c r="AM7" s="3">
        <v>82.78</v>
      </c>
      <c r="AN7" s="3">
        <v>0</v>
      </c>
      <c r="AO7" s="3">
        <v>0</v>
      </c>
      <c r="AP7" s="3">
        <v>0</v>
      </c>
      <c r="AQ7" s="11">
        <v>0</v>
      </c>
      <c r="AR7" s="88">
        <v>24</v>
      </c>
      <c r="AS7" s="78">
        <v>19</v>
      </c>
      <c r="AT7" s="19">
        <v>0</v>
      </c>
      <c r="AU7" s="3">
        <v>0</v>
      </c>
      <c r="AV7" s="3">
        <v>68.900000000000006</v>
      </c>
      <c r="AW7" s="11">
        <v>0</v>
      </c>
      <c r="AX7" s="88">
        <v>17</v>
      </c>
      <c r="AY7" s="162">
        <f>AX7</f>
        <v>17</v>
      </c>
      <c r="AZ7" s="19"/>
      <c r="BA7" s="3"/>
      <c r="BB7" s="3"/>
      <c r="BC7" s="11"/>
      <c r="BD7" s="88"/>
      <c r="BE7" s="78"/>
      <c r="BF7" s="300" t="s">
        <v>492</v>
      </c>
      <c r="BG7" t="str">
        <f t="shared" ref="BG7:BG13" si="0">A7&amp;B7&amp;D7&amp;BF7&amp;$BF$5</f>
        <v>AliSmitSherbert LemonPrimary &lt;770</v>
      </c>
    </row>
    <row r="8" spans="1:59">
      <c r="A8" s="3" t="s">
        <v>32</v>
      </c>
      <c r="B8" s="3" t="s">
        <v>33</v>
      </c>
      <c r="C8" s="3" t="s">
        <v>34</v>
      </c>
      <c r="D8" s="202" t="s">
        <v>35</v>
      </c>
      <c r="E8" s="5"/>
      <c r="F8" s="88">
        <f t="shared" ref="F8:F13" si="1">SUM(T8,Z8,AI8,AR8,AX8,L8,BD8)</f>
        <v>127</v>
      </c>
      <c r="G8" s="78">
        <f>SUM(U8,AS8)</f>
        <v>40</v>
      </c>
      <c r="H8" s="19">
        <v>8</v>
      </c>
      <c r="I8" s="3">
        <v>9</v>
      </c>
      <c r="J8" s="3">
        <v>95.8</v>
      </c>
      <c r="K8" s="11">
        <v>17</v>
      </c>
      <c r="L8" s="88"/>
      <c r="M8" s="78" t="s">
        <v>31</v>
      </c>
      <c r="N8" s="19">
        <v>0</v>
      </c>
      <c r="O8" s="3">
        <v>47.17</v>
      </c>
      <c r="P8" s="3"/>
      <c r="Q8" s="3">
        <v>0</v>
      </c>
      <c r="R8" s="3">
        <v>31.21</v>
      </c>
      <c r="S8" s="11">
        <v>0</v>
      </c>
      <c r="T8" s="385">
        <v>20</v>
      </c>
      <c r="U8" s="78">
        <f t="shared" ref="U8:U13" si="2">IF(T8="","",T8)</f>
        <v>20</v>
      </c>
      <c r="V8" s="19">
        <v>0</v>
      </c>
      <c r="W8" s="3">
        <v>0</v>
      </c>
      <c r="X8" s="3">
        <v>52.87</v>
      </c>
      <c r="Y8" s="11">
        <v>0</v>
      </c>
      <c r="Z8" s="88">
        <v>20</v>
      </c>
      <c r="AA8" s="78">
        <v>20</v>
      </c>
      <c r="AB8" s="19">
        <v>0</v>
      </c>
      <c r="AC8" s="3">
        <v>0</v>
      </c>
      <c r="AD8" s="3">
        <v>69.040000000000006</v>
      </c>
      <c r="AE8" s="3">
        <v>4</v>
      </c>
      <c r="AF8" s="3">
        <v>48.53</v>
      </c>
      <c r="AG8" s="3">
        <v>0</v>
      </c>
      <c r="AH8" s="11">
        <v>4</v>
      </c>
      <c r="AI8" s="88">
        <v>23</v>
      </c>
      <c r="AJ8" s="78">
        <v>18</v>
      </c>
      <c r="AK8" s="19">
        <v>0</v>
      </c>
      <c r="AL8" s="3">
        <v>0</v>
      </c>
      <c r="AM8" s="3">
        <v>66.819999999999993</v>
      </c>
      <c r="AN8" s="3">
        <v>0</v>
      </c>
      <c r="AO8" s="3">
        <v>0</v>
      </c>
      <c r="AP8" s="3">
        <v>0</v>
      </c>
      <c r="AQ8" s="11">
        <v>0</v>
      </c>
      <c r="AR8" s="88">
        <v>25</v>
      </c>
      <c r="AS8" s="78">
        <v>20</v>
      </c>
      <c r="AT8" s="129">
        <v>0</v>
      </c>
      <c r="AU8" s="130">
        <v>0</v>
      </c>
      <c r="AV8" s="3">
        <v>55.5</v>
      </c>
      <c r="AW8" s="11">
        <v>0</v>
      </c>
      <c r="AX8" s="88">
        <v>20</v>
      </c>
      <c r="AY8" s="162">
        <f>AX8</f>
        <v>20</v>
      </c>
      <c r="AZ8" s="19">
        <v>0</v>
      </c>
      <c r="BA8" s="3">
        <v>0</v>
      </c>
      <c r="BB8" s="3">
        <v>67.45</v>
      </c>
      <c r="BC8" s="11">
        <v>0</v>
      </c>
      <c r="BD8" s="88">
        <v>19</v>
      </c>
      <c r="BE8" s="78">
        <v>19</v>
      </c>
      <c r="BF8" s="300" t="s">
        <v>492</v>
      </c>
      <c r="BG8" t="str">
        <f t="shared" si="0"/>
        <v>CarlyRobertsKapeta LangleyPrimary &lt;770</v>
      </c>
    </row>
    <row r="9" spans="1:59">
      <c r="A9" s="3" t="s">
        <v>36</v>
      </c>
      <c r="B9" s="3" t="s">
        <v>37</v>
      </c>
      <c r="C9" s="3" t="s">
        <v>38</v>
      </c>
      <c r="D9" s="3" t="s">
        <v>39</v>
      </c>
      <c r="E9" s="5"/>
      <c r="F9" s="88">
        <f t="shared" si="1"/>
        <v>99</v>
      </c>
      <c r="G9" s="78">
        <f>SUM(U9,AA9)</f>
        <v>37</v>
      </c>
      <c r="H9" s="19">
        <v>4</v>
      </c>
      <c r="I9" s="3">
        <v>12</v>
      </c>
      <c r="J9" s="3">
        <v>98.23</v>
      </c>
      <c r="K9" s="11">
        <v>16</v>
      </c>
      <c r="L9" s="88"/>
      <c r="M9" s="78" t="s">
        <v>31</v>
      </c>
      <c r="N9" s="19">
        <v>0</v>
      </c>
      <c r="O9" s="3">
        <v>46.99</v>
      </c>
      <c r="P9" s="3">
        <v>42.42</v>
      </c>
      <c r="Q9" s="3">
        <v>0</v>
      </c>
      <c r="R9" s="3">
        <v>42.42</v>
      </c>
      <c r="S9" s="11">
        <v>0</v>
      </c>
      <c r="T9" s="88">
        <v>19</v>
      </c>
      <c r="U9" s="78">
        <f t="shared" si="2"/>
        <v>19</v>
      </c>
      <c r="V9" s="19">
        <v>0</v>
      </c>
      <c r="W9" s="3">
        <v>0</v>
      </c>
      <c r="X9" s="3">
        <v>55.78</v>
      </c>
      <c r="Y9" s="11">
        <v>0</v>
      </c>
      <c r="Z9" s="88">
        <v>18</v>
      </c>
      <c r="AA9" s="78">
        <v>18</v>
      </c>
      <c r="AB9" s="19">
        <v>4</v>
      </c>
      <c r="AC9" s="3">
        <v>0</v>
      </c>
      <c r="AD9" s="3">
        <v>64.84</v>
      </c>
      <c r="AE9" s="3">
        <v>0</v>
      </c>
      <c r="AF9" s="3">
        <v>0</v>
      </c>
      <c r="AG9" s="3">
        <v>4</v>
      </c>
      <c r="AH9" s="11">
        <v>4</v>
      </c>
      <c r="AI9" s="88">
        <v>22</v>
      </c>
      <c r="AJ9" s="78">
        <v>17</v>
      </c>
      <c r="AK9" s="19">
        <v>4</v>
      </c>
      <c r="AL9" s="3">
        <v>1</v>
      </c>
      <c r="AM9" s="3">
        <v>84.69</v>
      </c>
      <c r="AN9" s="3">
        <v>0</v>
      </c>
      <c r="AO9" s="3">
        <v>0</v>
      </c>
      <c r="AP9" s="3">
        <v>5</v>
      </c>
      <c r="AQ9" s="11">
        <v>5</v>
      </c>
      <c r="AR9" s="88">
        <v>22</v>
      </c>
      <c r="AS9" s="78">
        <v>17</v>
      </c>
      <c r="AT9" s="19">
        <v>12</v>
      </c>
      <c r="AU9" s="3">
        <v>6</v>
      </c>
      <c r="AV9" s="3">
        <v>84.07</v>
      </c>
      <c r="AW9" s="11">
        <v>18</v>
      </c>
      <c r="AX9" s="88"/>
      <c r="AY9" s="78"/>
      <c r="AZ9" s="129">
        <v>4</v>
      </c>
      <c r="BA9" s="130">
        <v>0</v>
      </c>
      <c r="BB9" s="3">
        <v>68.81</v>
      </c>
      <c r="BC9" s="11">
        <v>4</v>
      </c>
      <c r="BD9" s="88">
        <v>18</v>
      </c>
      <c r="BE9" s="78">
        <v>18</v>
      </c>
      <c r="BF9" s="300" t="s">
        <v>492</v>
      </c>
      <c r="BG9" t="str">
        <f t="shared" si="0"/>
        <v>EllieMeaneyLoriot PandoraPrimary &lt;770</v>
      </c>
    </row>
    <row r="10" spans="1:59">
      <c r="A10" s="3" t="s">
        <v>40</v>
      </c>
      <c r="B10" s="3" t="s">
        <v>41</v>
      </c>
      <c r="C10" s="202" t="s">
        <v>42</v>
      </c>
      <c r="D10" s="202" t="s">
        <v>43</v>
      </c>
      <c r="E10" s="205">
        <v>6</v>
      </c>
      <c r="F10" s="88">
        <f t="shared" si="1"/>
        <v>126</v>
      </c>
      <c r="G10" s="78">
        <f>SUM(M10,AJ10)</f>
        <v>40</v>
      </c>
      <c r="H10" s="19">
        <v>0</v>
      </c>
      <c r="I10" s="3">
        <v>0</v>
      </c>
      <c r="J10" s="3">
        <v>69.989999999999995</v>
      </c>
      <c r="K10" s="11">
        <v>0</v>
      </c>
      <c r="L10" s="88">
        <v>20</v>
      </c>
      <c r="M10" s="78">
        <v>20</v>
      </c>
      <c r="N10" s="19"/>
      <c r="O10" s="3"/>
      <c r="P10" s="3"/>
      <c r="Q10" s="3"/>
      <c r="R10" s="3"/>
      <c r="S10" s="11" t="str">
        <f t="shared" ref="S10:S16" si="3">IF(N10=0,"",N10)</f>
        <v/>
      </c>
      <c r="T10" s="88"/>
      <c r="U10" s="78" t="str">
        <f t="shared" si="2"/>
        <v/>
      </c>
      <c r="V10" s="19">
        <v>0</v>
      </c>
      <c r="W10" s="3">
        <v>0</v>
      </c>
      <c r="X10" s="3">
        <v>53.11</v>
      </c>
      <c r="Y10" s="11">
        <v>0</v>
      </c>
      <c r="Z10" s="88">
        <v>19</v>
      </c>
      <c r="AA10" s="78">
        <v>19</v>
      </c>
      <c r="AB10" s="19">
        <v>0</v>
      </c>
      <c r="AC10" s="3">
        <v>0</v>
      </c>
      <c r="AD10" s="3">
        <v>66.03</v>
      </c>
      <c r="AE10" s="3">
        <v>0</v>
      </c>
      <c r="AF10" s="3">
        <v>36.130000000000003</v>
      </c>
      <c r="AG10" s="3">
        <v>0</v>
      </c>
      <c r="AH10" s="11">
        <v>0</v>
      </c>
      <c r="AI10" s="88">
        <v>25</v>
      </c>
      <c r="AJ10" s="78">
        <v>20</v>
      </c>
      <c r="AK10" s="19">
        <v>4</v>
      </c>
      <c r="AL10" s="3">
        <v>0</v>
      </c>
      <c r="AM10" s="3">
        <v>82.68</v>
      </c>
      <c r="AN10" s="3">
        <v>0</v>
      </c>
      <c r="AO10" s="3">
        <v>0</v>
      </c>
      <c r="AP10" s="3">
        <v>4</v>
      </c>
      <c r="AQ10" s="11">
        <v>4</v>
      </c>
      <c r="AR10" s="88">
        <v>23</v>
      </c>
      <c r="AS10" s="78">
        <v>18</v>
      </c>
      <c r="AT10" s="19">
        <v>0</v>
      </c>
      <c r="AU10" s="3">
        <v>0</v>
      </c>
      <c r="AV10" s="3">
        <v>56.19</v>
      </c>
      <c r="AW10" s="11">
        <v>0</v>
      </c>
      <c r="AX10" s="88">
        <v>19</v>
      </c>
      <c r="AY10" s="162">
        <f>AX10</f>
        <v>19</v>
      </c>
      <c r="AZ10" s="19">
        <v>0</v>
      </c>
      <c r="BA10" s="3">
        <v>0</v>
      </c>
      <c r="BB10" s="3">
        <v>62.28</v>
      </c>
      <c r="BC10" s="11">
        <v>0</v>
      </c>
      <c r="BD10" s="88">
        <v>20</v>
      </c>
      <c r="BE10" s="78">
        <v>20</v>
      </c>
      <c r="BF10" s="300" t="s">
        <v>492</v>
      </c>
      <c r="BG10" t="str">
        <f t="shared" si="0"/>
        <v>ImogenCarmichaelLittle Black SuziPrimary &lt;770</v>
      </c>
    </row>
    <row r="11" spans="1:59">
      <c r="A11" s="3" t="s">
        <v>44</v>
      </c>
      <c r="B11" s="3" t="s">
        <v>45</v>
      </c>
      <c r="C11" s="202" t="s">
        <v>46</v>
      </c>
      <c r="D11" s="202" t="s">
        <v>47</v>
      </c>
      <c r="E11" s="205">
        <v>5</v>
      </c>
      <c r="F11" s="88">
        <f t="shared" si="1"/>
        <v>0</v>
      </c>
      <c r="G11" s="78"/>
      <c r="H11" s="19"/>
      <c r="I11" s="3"/>
      <c r="J11" s="3"/>
      <c r="K11" s="11"/>
      <c r="L11" s="88"/>
      <c r="M11" s="78"/>
      <c r="N11" s="19"/>
      <c r="O11" s="3"/>
      <c r="P11" s="3"/>
      <c r="Q11" s="3"/>
      <c r="R11" s="3"/>
      <c r="S11" s="11" t="str">
        <f t="shared" si="3"/>
        <v/>
      </c>
      <c r="T11" s="88"/>
      <c r="U11" s="78" t="str">
        <f t="shared" si="2"/>
        <v/>
      </c>
      <c r="V11" s="19"/>
      <c r="W11" s="3"/>
      <c r="X11" s="3"/>
      <c r="Y11" s="11"/>
      <c r="Z11" s="88"/>
      <c r="AA11" s="78"/>
      <c r="AB11" s="19"/>
      <c r="AC11" s="3"/>
      <c r="AD11" s="3"/>
      <c r="AE11" s="3"/>
      <c r="AF11" s="3"/>
      <c r="AG11" s="3"/>
      <c r="AH11" s="11"/>
      <c r="AI11" s="88"/>
      <c r="AJ11" s="78"/>
      <c r="AK11" s="19">
        <v>0</v>
      </c>
      <c r="AL11" s="3">
        <v>0</v>
      </c>
      <c r="AM11" s="3">
        <v>0</v>
      </c>
      <c r="AN11" s="3">
        <v>0</v>
      </c>
      <c r="AO11" s="3">
        <v>0</v>
      </c>
      <c r="AP11" s="3">
        <v>0</v>
      </c>
      <c r="AQ11" s="11">
        <v>0</v>
      </c>
      <c r="AR11" s="88">
        <v>0</v>
      </c>
      <c r="AS11" s="78"/>
      <c r="AT11" s="19"/>
      <c r="AU11" s="3"/>
      <c r="AV11" s="3"/>
      <c r="AW11" s="11"/>
      <c r="AX11" s="88"/>
      <c r="AY11" s="78"/>
      <c r="AZ11" s="19"/>
      <c r="BA11" s="3"/>
      <c r="BB11" s="3"/>
      <c r="BC11" s="11"/>
      <c r="BD11" s="88"/>
      <c r="BE11" s="78"/>
      <c r="BF11" s="300" t="s">
        <v>492</v>
      </c>
      <c r="BG11" t="str">
        <f t="shared" si="0"/>
        <v>OliviaSpencerNillalook GuardianPrimary &lt;770</v>
      </c>
    </row>
    <row r="12" spans="1:59">
      <c r="A12" s="3" t="s">
        <v>48</v>
      </c>
      <c r="B12" s="3" t="s">
        <v>49</v>
      </c>
      <c r="C12" s="202" t="s">
        <v>50</v>
      </c>
      <c r="D12" s="202" t="s">
        <v>51</v>
      </c>
      <c r="E12" s="205">
        <v>6</v>
      </c>
      <c r="F12" s="88">
        <f t="shared" si="1"/>
        <v>0</v>
      </c>
      <c r="G12" s="78"/>
      <c r="H12" s="19"/>
      <c r="I12" s="3"/>
      <c r="J12" s="3"/>
      <c r="K12" s="11"/>
      <c r="L12" s="88"/>
      <c r="M12" s="78"/>
      <c r="N12" s="19"/>
      <c r="O12" s="3"/>
      <c r="P12" s="3"/>
      <c r="Q12" s="3"/>
      <c r="R12" s="3"/>
      <c r="S12" s="11" t="str">
        <f t="shared" si="3"/>
        <v/>
      </c>
      <c r="T12" s="88"/>
      <c r="U12" s="78" t="str">
        <f t="shared" si="2"/>
        <v/>
      </c>
      <c r="V12" s="19"/>
      <c r="W12" s="3"/>
      <c r="X12" s="3"/>
      <c r="Y12" s="11"/>
      <c r="Z12" s="88"/>
      <c r="AA12" s="78"/>
      <c r="AB12" s="19"/>
      <c r="AC12" s="3"/>
      <c r="AD12" s="3"/>
      <c r="AE12" s="3"/>
      <c r="AF12" s="3"/>
      <c r="AG12" s="3"/>
      <c r="AH12" s="11"/>
      <c r="AI12" s="88"/>
      <c r="AJ12" s="78"/>
      <c r="AK12" s="19">
        <v>0</v>
      </c>
      <c r="AL12" s="3">
        <v>0</v>
      </c>
      <c r="AM12" s="3">
        <v>0</v>
      </c>
      <c r="AN12" s="3">
        <v>0</v>
      </c>
      <c r="AO12" s="3">
        <v>0</v>
      </c>
      <c r="AP12" s="3">
        <v>0</v>
      </c>
      <c r="AQ12" s="11">
        <v>0</v>
      </c>
      <c r="AR12" s="88">
        <v>0</v>
      </c>
      <c r="AS12" s="78"/>
      <c r="AT12" s="19"/>
      <c r="AU12" s="3"/>
      <c r="AV12" s="3"/>
      <c r="AW12" s="11"/>
      <c r="AX12" s="88"/>
      <c r="AY12" s="78"/>
      <c r="AZ12" s="129"/>
      <c r="BA12" s="130"/>
      <c r="BB12" s="3"/>
      <c r="BC12" s="11"/>
      <c r="BD12" s="88"/>
      <c r="BE12" s="78"/>
      <c r="BF12" s="300" t="s">
        <v>492</v>
      </c>
      <c r="BG12" t="str">
        <f t="shared" si="0"/>
        <v>ZaraWissellWychwoodPrimary &lt;770</v>
      </c>
    </row>
    <row r="13" spans="1:59">
      <c r="A13" s="202" t="s">
        <v>52</v>
      </c>
      <c r="B13" s="202" t="s">
        <v>53</v>
      </c>
      <c r="C13" s="202" t="s">
        <v>42</v>
      </c>
      <c r="D13" s="202" t="s">
        <v>54</v>
      </c>
      <c r="E13" s="5"/>
      <c r="F13" s="88">
        <f t="shared" si="1"/>
        <v>35</v>
      </c>
      <c r="G13" s="78">
        <f>SUM(AY13,BE13)</f>
        <v>35</v>
      </c>
      <c r="H13" s="19"/>
      <c r="I13" s="3"/>
      <c r="J13" s="3"/>
      <c r="K13" s="11"/>
      <c r="L13" s="88"/>
      <c r="M13" s="78"/>
      <c r="N13" s="19"/>
      <c r="O13" s="3"/>
      <c r="P13" s="3"/>
      <c r="Q13" s="3"/>
      <c r="R13" s="3"/>
      <c r="S13" s="11" t="str">
        <f t="shared" si="3"/>
        <v/>
      </c>
      <c r="T13" s="88"/>
      <c r="U13" s="78" t="str">
        <f t="shared" si="2"/>
        <v/>
      </c>
      <c r="V13" s="19"/>
      <c r="W13" s="3"/>
      <c r="X13" s="3"/>
      <c r="Y13" s="11"/>
      <c r="Z13" s="88"/>
      <c r="AA13" s="386"/>
      <c r="AB13" s="19"/>
      <c r="AC13" s="3"/>
      <c r="AD13" s="3"/>
      <c r="AE13" s="3"/>
      <c r="AF13" s="3"/>
      <c r="AG13" s="3"/>
      <c r="AH13" s="11"/>
      <c r="AI13" s="88"/>
      <c r="AJ13" s="78"/>
      <c r="AK13" s="19">
        <v>0</v>
      </c>
      <c r="AL13" s="3">
        <v>0</v>
      </c>
      <c r="AM13" s="3">
        <v>0</v>
      </c>
      <c r="AN13" s="3">
        <v>0</v>
      </c>
      <c r="AO13" s="3">
        <v>0</v>
      </c>
      <c r="AP13" s="3">
        <v>0</v>
      </c>
      <c r="AQ13" s="11">
        <v>0</v>
      </c>
      <c r="AR13" s="88">
        <v>0</v>
      </c>
      <c r="AS13" s="78"/>
      <c r="AT13" s="19">
        <v>0</v>
      </c>
      <c r="AU13" s="3">
        <v>0</v>
      </c>
      <c r="AV13" s="3">
        <v>56.57</v>
      </c>
      <c r="AW13" s="11"/>
      <c r="AX13" s="88">
        <v>18</v>
      </c>
      <c r="AY13" s="162">
        <f>AX13</f>
        <v>18</v>
      </c>
      <c r="AZ13" s="19">
        <v>4</v>
      </c>
      <c r="BA13" s="3">
        <v>0</v>
      </c>
      <c r="BB13" s="3">
        <v>78.819999999999993</v>
      </c>
      <c r="BC13" s="11">
        <v>4</v>
      </c>
      <c r="BD13" s="88">
        <v>17</v>
      </c>
      <c r="BE13" s="78">
        <v>17</v>
      </c>
      <c r="BF13" s="300" t="s">
        <v>492</v>
      </c>
      <c r="BG13" t="str">
        <f t="shared" si="0"/>
        <v>Zoe JamesGundermein touch of luckPrimary &lt;770</v>
      </c>
    </row>
    <row r="14" spans="1:59">
      <c r="A14" s="2"/>
      <c r="B14" s="2"/>
      <c r="C14" s="3"/>
      <c r="D14" s="3"/>
      <c r="E14" s="11"/>
      <c r="F14" s="88">
        <f t="shared" ref="F14:F16" si="4">SUM(T14,Z14,AI14,AR14,AX14,L14,BD14)</f>
        <v>0</v>
      </c>
      <c r="G14" s="78"/>
      <c r="H14" s="19"/>
      <c r="I14" s="3"/>
      <c r="J14" s="3"/>
      <c r="K14" s="11"/>
      <c r="L14" s="88"/>
      <c r="M14" s="78"/>
      <c r="N14" s="19"/>
      <c r="O14" s="3"/>
      <c r="P14" s="3"/>
      <c r="Q14" s="3"/>
      <c r="R14" s="3"/>
      <c r="S14" s="11" t="str">
        <f t="shared" si="3"/>
        <v/>
      </c>
      <c r="T14" s="88"/>
      <c r="U14" s="78" t="str">
        <f t="shared" ref="U14:U16" si="5">IF(T14="","",T14)</f>
        <v/>
      </c>
      <c r="V14" s="19"/>
      <c r="W14" s="3"/>
      <c r="X14" s="3"/>
      <c r="Y14" s="11"/>
      <c r="Z14" s="88"/>
      <c r="AA14" s="78"/>
      <c r="AB14" s="19"/>
      <c r="AC14" s="3"/>
      <c r="AD14" s="3"/>
      <c r="AE14" s="3"/>
      <c r="AF14" s="3"/>
      <c r="AG14" s="3"/>
      <c r="AH14" s="11"/>
      <c r="AI14" s="88"/>
      <c r="AJ14" s="78"/>
      <c r="AK14" s="19"/>
      <c r="AL14" s="3"/>
      <c r="AM14" s="3"/>
      <c r="AN14" s="3"/>
      <c r="AO14" s="3"/>
      <c r="AP14" s="3"/>
      <c r="AQ14" s="11"/>
      <c r="AR14" s="88"/>
      <c r="AS14" s="78"/>
      <c r="AT14" s="129"/>
      <c r="AU14" s="130"/>
      <c r="AV14" s="3"/>
      <c r="AW14" s="11"/>
      <c r="AX14" s="88"/>
      <c r="AY14" s="78"/>
      <c r="AZ14" s="19"/>
      <c r="BA14" s="3"/>
      <c r="BB14" s="3"/>
      <c r="BC14" s="11"/>
      <c r="BD14" s="88"/>
      <c r="BE14" s="78"/>
      <c r="BF14" s="300" t="s">
        <v>492</v>
      </c>
    </row>
    <row r="15" spans="1:59">
      <c r="A15" s="2"/>
      <c r="B15" s="2"/>
      <c r="C15" s="301"/>
      <c r="D15" s="301"/>
      <c r="E15" s="383"/>
      <c r="F15" s="88">
        <f t="shared" si="4"/>
        <v>0</v>
      </c>
      <c r="G15" s="78"/>
      <c r="H15" s="19"/>
      <c r="I15" s="3"/>
      <c r="J15" s="3"/>
      <c r="K15" s="11"/>
      <c r="L15" s="88"/>
      <c r="M15" s="78"/>
      <c r="N15" s="19"/>
      <c r="O15" s="3"/>
      <c r="P15" s="3"/>
      <c r="Q15" s="3"/>
      <c r="R15" s="3"/>
      <c r="S15" s="11" t="str">
        <f t="shared" si="3"/>
        <v/>
      </c>
      <c r="T15" s="88"/>
      <c r="U15" s="78" t="str">
        <f t="shared" si="5"/>
        <v/>
      </c>
      <c r="V15" s="19"/>
      <c r="W15" s="3"/>
      <c r="X15" s="3"/>
      <c r="Y15" s="11"/>
      <c r="Z15" s="88"/>
      <c r="AA15" s="78"/>
      <c r="AB15" s="19"/>
      <c r="AC15" s="3"/>
      <c r="AD15" s="3"/>
      <c r="AE15" s="3"/>
      <c r="AF15" s="3"/>
      <c r="AG15" s="3"/>
      <c r="AH15" s="11"/>
      <c r="AI15" s="88"/>
      <c r="AJ15" s="78"/>
      <c r="AK15" s="19"/>
      <c r="AL15" s="3"/>
      <c r="AM15" s="3"/>
      <c r="AN15" s="3"/>
      <c r="AO15" s="3"/>
      <c r="AP15" s="3"/>
      <c r="AQ15" s="11"/>
      <c r="AR15" s="88"/>
      <c r="AS15" s="78"/>
      <c r="AT15" s="129"/>
      <c r="AU15" s="130"/>
      <c r="AV15" s="3"/>
      <c r="AW15" s="11"/>
      <c r="AX15" s="88"/>
      <c r="AY15" s="78"/>
      <c r="AZ15" s="19"/>
      <c r="BA15" s="3"/>
      <c r="BB15" s="3"/>
      <c r="BC15" s="11"/>
      <c r="BD15" s="88"/>
      <c r="BE15" s="78"/>
      <c r="BF15" s="300" t="s">
        <v>492</v>
      </c>
    </row>
    <row r="16" spans="1:59" ht="16.5" thickBot="1">
      <c r="A16" s="163"/>
      <c r="B16" s="163"/>
      <c r="C16" s="163"/>
      <c r="D16" s="163"/>
      <c r="E16" s="384"/>
      <c r="F16" s="90">
        <f t="shared" si="4"/>
        <v>0</v>
      </c>
      <c r="G16" s="86"/>
      <c r="H16" s="19"/>
      <c r="I16" s="3"/>
      <c r="J16" s="3"/>
      <c r="K16" s="11"/>
      <c r="L16" s="90"/>
      <c r="M16" s="86"/>
      <c r="N16" s="19"/>
      <c r="O16" s="3"/>
      <c r="P16" s="3"/>
      <c r="Q16" s="3"/>
      <c r="R16" s="3"/>
      <c r="S16" s="11" t="str">
        <f t="shared" si="3"/>
        <v/>
      </c>
      <c r="T16" s="90"/>
      <c r="U16" s="86" t="str">
        <f t="shared" si="5"/>
        <v/>
      </c>
      <c r="V16" s="19"/>
      <c r="W16" s="3"/>
      <c r="X16" s="3"/>
      <c r="Y16" s="11"/>
      <c r="Z16" s="90"/>
      <c r="AA16" s="86"/>
      <c r="AB16" s="19"/>
      <c r="AC16" s="3"/>
      <c r="AD16" s="3"/>
      <c r="AE16" s="3"/>
      <c r="AF16" s="3"/>
      <c r="AG16" s="3"/>
      <c r="AH16" s="11"/>
      <c r="AI16" s="90"/>
      <c r="AJ16" s="86"/>
      <c r="AK16" s="19"/>
      <c r="AL16" s="3"/>
      <c r="AM16" s="3"/>
      <c r="AN16" s="3"/>
      <c r="AO16" s="3"/>
      <c r="AP16" s="3"/>
      <c r="AQ16" s="11"/>
      <c r="AR16" s="90"/>
      <c r="AS16" s="86"/>
      <c r="AT16" s="129"/>
      <c r="AU16" s="130"/>
      <c r="AV16" s="3"/>
      <c r="AW16" s="11"/>
      <c r="AX16" s="90"/>
      <c r="AY16" s="86"/>
      <c r="AZ16" s="19"/>
      <c r="BA16" s="3"/>
      <c r="BB16" s="3"/>
      <c r="BC16" s="11"/>
      <c r="BD16" s="90"/>
      <c r="BE16" s="86"/>
      <c r="BF16" s="300" t="s">
        <v>492</v>
      </c>
    </row>
    <row r="17" spans="1:59" ht="16.5" thickBot="1">
      <c r="A17" s="183"/>
      <c r="B17" s="183"/>
      <c r="C17" s="183"/>
      <c r="D17" s="183"/>
      <c r="E17" s="183"/>
      <c r="AT17" s="180"/>
      <c r="AU17" s="180"/>
    </row>
    <row r="18" spans="1:59" ht="24" thickBot="1">
      <c r="H18" s="410" t="s">
        <v>1</v>
      </c>
      <c r="I18" s="411"/>
      <c r="J18" s="411"/>
      <c r="K18" s="411"/>
      <c r="L18" s="411"/>
      <c r="M18" s="412"/>
      <c r="N18" s="399" t="s">
        <v>2</v>
      </c>
      <c r="O18" s="400"/>
      <c r="P18" s="400"/>
      <c r="Q18" s="400"/>
      <c r="R18" s="400"/>
      <c r="S18" s="400"/>
      <c r="T18" s="400"/>
      <c r="U18" s="401"/>
      <c r="V18" s="402" t="s">
        <v>3</v>
      </c>
      <c r="W18" s="403"/>
      <c r="X18" s="403"/>
      <c r="Y18" s="403"/>
      <c r="Z18" s="403"/>
      <c r="AA18" s="404"/>
      <c r="AB18" s="390" t="s">
        <v>4</v>
      </c>
      <c r="AC18" s="391"/>
      <c r="AD18" s="391"/>
      <c r="AE18" s="391"/>
      <c r="AF18" s="391"/>
      <c r="AG18" s="391"/>
      <c r="AH18" s="391"/>
      <c r="AI18" s="391"/>
      <c r="AJ18" s="392"/>
      <c r="AK18" s="393" t="s">
        <v>5</v>
      </c>
      <c r="AL18" s="394"/>
      <c r="AM18" s="394"/>
      <c r="AN18" s="394"/>
      <c r="AO18" s="394"/>
      <c r="AP18" s="394"/>
      <c r="AQ18" s="394"/>
      <c r="AR18" s="394"/>
      <c r="AS18" s="395"/>
      <c r="AT18" s="396" t="s">
        <v>6</v>
      </c>
      <c r="AU18" s="397"/>
      <c r="AV18" s="397"/>
      <c r="AW18" s="397"/>
      <c r="AX18" s="397"/>
      <c r="AY18" s="398"/>
      <c r="AZ18" s="405" t="s">
        <v>7</v>
      </c>
      <c r="BA18" s="406"/>
      <c r="BB18" s="406"/>
      <c r="BC18" s="406"/>
      <c r="BD18" s="406"/>
      <c r="BE18" s="407"/>
    </row>
    <row r="19" spans="1:59" s="43" customFormat="1" ht="63">
      <c r="A19" s="414" t="s">
        <v>55</v>
      </c>
      <c r="B19" s="415"/>
      <c r="C19" s="415"/>
      <c r="D19" s="415"/>
      <c r="E19" s="415"/>
      <c r="F19" s="117" t="s">
        <v>9</v>
      </c>
      <c r="G19" s="51" t="s">
        <v>10</v>
      </c>
      <c r="H19" s="59" t="s">
        <v>11</v>
      </c>
      <c r="I19" s="55" t="s">
        <v>12</v>
      </c>
      <c r="J19" s="61" t="s">
        <v>13</v>
      </c>
      <c r="K19" s="62" t="s">
        <v>14</v>
      </c>
      <c r="L19" s="97" t="s">
        <v>15</v>
      </c>
      <c r="M19" s="51" t="s">
        <v>16</v>
      </c>
      <c r="N19" s="59" t="s">
        <v>11</v>
      </c>
      <c r="O19" s="55" t="s">
        <v>17</v>
      </c>
      <c r="P19" s="61" t="s">
        <v>18</v>
      </c>
      <c r="Q19" s="55" t="s">
        <v>19</v>
      </c>
      <c r="R19" s="248" t="s">
        <v>20</v>
      </c>
      <c r="S19" s="37" t="s">
        <v>14</v>
      </c>
      <c r="T19" s="97" t="s">
        <v>15</v>
      </c>
      <c r="U19" s="51" t="s">
        <v>16</v>
      </c>
      <c r="V19" s="59" t="s">
        <v>11</v>
      </c>
      <c r="W19" s="55" t="s">
        <v>12</v>
      </c>
      <c r="X19" s="61" t="s">
        <v>13</v>
      </c>
      <c r="Y19" s="37" t="s">
        <v>14</v>
      </c>
      <c r="Z19" s="97" t="s">
        <v>15</v>
      </c>
      <c r="AA19" s="51" t="s">
        <v>16</v>
      </c>
      <c r="AB19" s="274" t="s">
        <v>483</v>
      </c>
      <c r="AC19" s="188" t="s">
        <v>484</v>
      </c>
      <c r="AD19" s="275" t="s">
        <v>485</v>
      </c>
      <c r="AE19" s="276" t="s">
        <v>486</v>
      </c>
      <c r="AF19" s="277" t="s">
        <v>487</v>
      </c>
      <c r="AG19" s="246" t="s">
        <v>488</v>
      </c>
      <c r="AH19" s="246" t="s">
        <v>489</v>
      </c>
      <c r="AI19" s="97" t="s">
        <v>15</v>
      </c>
      <c r="AJ19" s="51" t="s">
        <v>16</v>
      </c>
      <c r="AK19" s="274" t="s">
        <v>483</v>
      </c>
      <c r="AL19" s="188" t="s">
        <v>484</v>
      </c>
      <c r="AM19" s="275" t="s">
        <v>485</v>
      </c>
      <c r="AN19" s="276" t="s">
        <v>486</v>
      </c>
      <c r="AO19" s="277" t="s">
        <v>487</v>
      </c>
      <c r="AP19" s="246" t="s">
        <v>488</v>
      </c>
      <c r="AQ19" s="246" t="s">
        <v>489</v>
      </c>
      <c r="AR19" s="97" t="s">
        <v>15</v>
      </c>
      <c r="AS19" s="51" t="s">
        <v>16</v>
      </c>
      <c r="AT19" s="59" t="s">
        <v>11</v>
      </c>
      <c r="AU19" s="297" t="s">
        <v>513</v>
      </c>
      <c r="AV19" s="56" t="s">
        <v>21</v>
      </c>
      <c r="AW19" s="62" t="s">
        <v>14</v>
      </c>
      <c r="AX19" s="97" t="s">
        <v>15</v>
      </c>
      <c r="AY19" s="51" t="s">
        <v>16</v>
      </c>
      <c r="AZ19" s="59" t="s">
        <v>11</v>
      </c>
      <c r="BA19" s="297" t="s">
        <v>513</v>
      </c>
      <c r="BB19" s="56" t="s">
        <v>21</v>
      </c>
      <c r="BC19" s="62" t="s">
        <v>14</v>
      </c>
      <c r="BD19" s="97" t="s">
        <v>15</v>
      </c>
      <c r="BE19" s="51" t="s">
        <v>16</v>
      </c>
      <c r="BF19" s="43">
        <v>80</v>
      </c>
      <c r="BG19"/>
    </row>
    <row r="20" spans="1:59">
      <c r="A20" s="1" t="s">
        <v>22</v>
      </c>
      <c r="B20" s="1" t="s">
        <v>23</v>
      </c>
      <c r="C20" s="1" t="s">
        <v>24</v>
      </c>
      <c r="D20" s="1" t="s">
        <v>25</v>
      </c>
      <c r="E20" s="4" t="s">
        <v>26</v>
      </c>
      <c r="F20" s="88"/>
      <c r="G20" s="78"/>
      <c r="H20" s="19"/>
      <c r="I20" s="3"/>
      <c r="J20" s="3"/>
      <c r="K20" s="11"/>
      <c r="L20" s="88"/>
      <c r="M20" s="78"/>
      <c r="N20" s="19"/>
      <c r="O20" s="3"/>
      <c r="P20" s="3"/>
      <c r="Q20" s="3"/>
      <c r="R20" s="3"/>
      <c r="S20" s="11" t="str">
        <f t="shared" ref="S20" si="6">IF(N20=0,"",N20)</f>
        <v/>
      </c>
      <c r="T20" s="88"/>
      <c r="U20" s="78"/>
      <c r="V20" s="19"/>
      <c r="W20" s="3"/>
      <c r="X20" s="3"/>
      <c r="Y20" s="11"/>
      <c r="Z20" s="88"/>
      <c r="AA20" s="78"/>
      <c r="AB20" s="19"/>
      <c r="AC20" s="3"/>
      <c r="AD20" s="3"/>
      <c r="AE20" s="3"/>
      <c r="AF20" s="3"/>
      <c r="AG20" s="3"/>
      <c r="AH20" s="11"/>
      <c r="AI20" s="88"/>
      <c r="AJ20" s="78"/>
      <c r="AK20" s="19"/>
      <c r="AL20" s="3"/>
      <c r="AM20" s="3"/>
      <c r="AN20" s="3"/>
      <c r="AO20" s="3"/>
      <c r="AP20" s="3"/>
      <c r="AQ20" s="11"/>
      <c r="AR20" s="88"/>
      <c r="AS20" s="78"/>
      <c r="AT20" s="19"/>
      <c r="AU20" s="3"/>
      <c r="AV20" s="3"/>
      <c r="AW20" s="11"/>
      <c r="AX20" s="88"/>
      <c r="AY20" s="78"/>
      <c r="AZ20" s="19"/>
      <c r="BA20" s="3"/>
      <c r="BB20" s="3"/>
      <c r="BC20" s="11"/>
      <c r="BD20" s="88"/>
      <c r="BE20" s="78"/>
      <c r="BF20" s="300" t="s">
        <v>492</v>
      </c>
      <c r="BG20" t="str">
        <f>A20&amp;B20&amp;D20&amp;BF20&amp;$BF$19</f>
        <v>Rider First NameRider Last NameName of Pony/HorsePrimary &lt;780</v>
      </c>
    </row>
    <row r="21" spans="1:59">
      <c r="A21" s="3" t="s">
        <v>32</v>
      </c>
      <c r="B21" s="3" t="s">
        <v>33</v>
      </c>
      <c r="C21" s="3" t="s">
        <v>34</v>
      </c>
      <c r="D21" s="202" t="s">
        <v>35</v>
      </c>
      <c r="E21" s="5"/>
      <c r="F21" s="88">
        <f>SUM(T21,Z21,AI21,AR21,AX21,BD21,L21)</f>
        <v>102</v>
      </c>
      <c r="G21" s="78">
        <f>SUM(U21,M21)</f>
        <v>40</v>
      </c>
      <c r="H21" s="19">
        <v>0</v>
      </c>
      <c r="I21" s="3">
        <v>0</v>
      </c>
      <c r="J21" s="3">
        <v>79.87</v>
      </c>
      <c r="K21" s="11">
        <v>0</v>
      </c>
      <c r="L21" s="88">
        <v>20</v>
      </c>
      <c r="M21" s="78">
        <v>20</v>
      </c>
      <c r="N21" s="19">
        <v>0</v>
      </c>
      <c r="O21" s="3">
        <v>46.38</v>
      </c>
      <c r="P21" s="3">
        <v>33.22</v>
      </c>
      <c r="Q21" s="3">
        <v>0</v>
      </c>
      <c r="R21" s="3">
        <v>33.22</v>
      </c>
      <c r="S21" s="11">
        <v>0</v>
      </c>
      <c r="T21" s="88">
        <v>20</v>
      </c>
      <c r="U21" s="78">
        <f t="shared" ref="U21:U26" si="7">IF(T21="","",T21)</f>
        <v>20</v>
      </c>
      <c r="V21" s="19">
        <v>0</v>
      </c>
      <c r="W21" s="3">
        <v>0</v>
      </c>
      <c r="X21" s="3">
        <v>52.38</v>
      </c>
      <c r="Y21" s="11">
        <v>0</v>
      </c>
      <c r="Z21" s="88">
        <v>20</v>
      </c>
      <c r="AA21" s="78">
        <v>20</v>
      </c>
      <c r="AB21" s="19">
        <v>0</v>
      </c>
      <c r="AC21" s="3">
        <v>0</v>
      </c>
      <c r="AD21" s="3">
        <v>65.03</v>
      </c>
      <c r="AE21" s="3"/>
      <c r="AF21" s="3"/>
      <c r="AG21" s="3">
        <v>0</v>
      </c>
      <c r="AH21" s="11">
        <v>0</v>
      </c>
      <c r="AI21" s="88">
        <v>24</v>
      </c>
      <c r="AJ21" s="78">
        <v>19</v>
      </c>
      <c r="AK21" s="19">
        <v>4</v>
      </c>
      <c r="AL21" s="3">
        <v>7</v>
      </c>
      <c r="AM21" s="3">
        <v>85.8</v>
      </c>
      <c r="AN21" s="3">
        <v>0</v>
      </c>
      <c r="AO21" s="3">
        <v>0</v>
      </c>
      <c r="AP21" s="3">
        <v>11</v>
      </c>
      <c r="AQ21" s="11">
        <v>11</v>
      </c>
      <c r="AR21" s="88">
        <v>0</v>
      </c>
      <c r="AS21" s="78"/>
      <c r="AT21" s="19" t="s">
        <v>70</v>
      </c>
      <c r="AU21" s="3"/>
      <c r="AV21" s="3"/>
      <c r="AW21" s="11"/>
      <c r="AX21" s="88"/>
      <c r="AY21" s="78"/>
      <c r="AZ21" s="19">
        <v>4</v>
      </c>
      <c r="BA21" s="3">
        <v>0</v>
      </c>
      <c r="BB21" s="3">
        <v>71.760000000000005</v>
      </c>
      <c r="BC21" s="11">
        <v>4</v>
      </c>
      <c r="BD21" s="88">
        <v>18</v>
      </c>
      <c r="BE21" s="78">
        <v>18</v>
      </c>
      <c r="BF21" s="300" t="s">
        <v>492</v>
      </c>
      <c r="BG21" t="str">
        <f t="shared" ref="BG21:BG26" si="8">A21&amp;B21&amp;D21&amp;BF21&amp;$BF$19</f>
        <v>CarlyRobertsKapeta LangleyPrimary &lt;780</v>
      </c>
    </row>
    <row r="22" spans="1:59">
      <c r="A22" s="3" t="s">
        <v>36</v>
      </c>
      <c r="B22" s="3" t="s">
        <v>37</v>
      </c>
      <c r="C22" s="3" t="s">
        <v>38</v>
      </c>
      <c r="D22" s="3" t="s">
        <v>39</v>
      </c>
      <c r="E22" s="5"/>
      <c r="F22" s="88">
        <f t="shared" ref="F22:F27" si="9">SUM(T22,Z22,AI22,AR22,AX22,BD22,L22)</f>
        <v>116</v>
      </c>
      <c r="G22" s="78">
        <f>SUM(AY22,BE22)</f>
        <v>39</v>
      </c>
      <c r="H22" s="19">
        <v>4</v>
      </c>
      <c r="I22" s="3">
        <v>0</v>
      </c>
      <c r="J22" s="3">
        <v>74.959999999999994</v>
      </c>
      <c r="K22" s="11">
        <v>4</v>
      </c>
      <c r="L22" s="88">
        <v>18</v>
      </c>
      <c r="M22" s="78">
        <v>18</v>
      </c>
      <c r="N22" s="19">
        <v>0</v>
      </c>
      <c r="O22" s="3">
        <v>45.32</v>
      </c>
      <c r="P22" s="3">
        <v>40.729999999999997</v>
      </c>
      <c r="Q22" s="3">
        <v>4</v>
      </c>
      <c r="R22" s="3">
        <v>40.729999999999997</v>
      </c>
      <c r="S22" s="11">
        <v>4</v>
      </c>
      <c r="T22" s="88">
        <v>18</v>
      </c>
      <c r="U22" s="78">
        <f t="shared" si="7"/>
        <v>18</v>
      </c>
      <c r="V22" s="19">
        <v>4</v>
      </c>
      <c r="W22" s="3">
        <v>0</v>
      </c>
      <c r="X22" s="3">
        <v>53.08</v>
      </c>
      <c r="Y22" s="11">
        <v>4</v>
      </c>
      <c r="Z22" s="88">
        <v>18</v>
      </c>
      <c r="AA22" s="78">
        <v>18</v>
      </c>
      <c r="AB22" s="19">
        <v>0</v>
      </c>
      <c r="AC22" s="3">
        <v>9</v>
      </c>
      <c r="AD22" s="3">
        <v>80.84</v>
      </c>
      <c r="AE22" s="3"/>
      <c r="AF22" s="3"/>
      <c r="AG22" s="3">
        <v>9</v>
      </c>
      <c r="AH22" s="11">
        <v>9</v>
      </c>
      <c r="AI22" s="88">
        <v>23</v>
      </c>
      <c r="AJ22" s="78">
        <v>18</v>
      </c>
      <c r="AK22" s="19">
        <v>8</v>
      </c>
      <c r="AL22" s="3">
        <v>1</v>
      </c>
      <c r="AM22" s="3">
        <v>78.209999999999994</v>
      </c>
      <c r="AN22" s="3">
        <v>0</v>
      </c>
      <c r="AO22" s="3">
        <v>0</v>
      </c>
      <c r="AP22" s="3">
        <v>9</v>
      </c>
      <c r="AQ22" s="11">
        <v>9</v>
      </c>
      <c r="AR22" s="88">
        <v>0</v>
      </c>
      <c r="AS22" s="78"/>
      <c r="AT22" s="19">
        <v>0</v>
      </c>
      <c r="AU22" s="3">
        <v>0</v>
      </c>
      <c r="AV22" s="3">
        <v>61.47</v>
      </c>
      <c r="AW22" s="11">
        <v>0</v>
      </c>
      <c r="AX22" s="88">
        <v>19</v>
      </c>
      <c r="AY22" s="162">
        <f>AX22</f>
        <v>19</v>
      </c>
      <c r="AZ22" s="19">
        <v>0</v>
      </c>
      <c r="BA22" s="3">
        <v>0</v>
      </c>
      <c r="BB22" s="3">
        <v>68.400000000000006</v>
      </c>
      <c r="BC22" s="11">
        <v>0</v>
      </c>
      <c r="BD22" s="88">
        <v>20</v>
      </c>
      <c r="BE22" s="78">
        <v>20</v>
      </c>
      <c r="BF22" s="300" t="s">
        <v>492</v>
      </c>
      <c r="BG22" t="str">
        <f t="shared" si="8"/>
        <v>EllieMeaneyLoriot PandoraPrimary &lt;780</v>
      </c>
    </row>
    <row r="23" spans="1:59">
      <c r="A23" s="3" t="s">
        <v>40</v>
      </c>
      <c r="B23" s="3" t="s">
        <v>41</v>
      </c>
      <c r="C23" s="202" t="s">
        <v>42</v>
      </c>
      <c r="D23" s="202" t="s">
        <v>43</v>
      </c>
      <c r="E23" s="205">
        <v>6</v>
      </c>
      <c r="F23" s="88">
        <f t="shared" si="9"/>
        <v>75</v>
      </c>
      <c r="G23" s="78">
        <f>SUM(AY23,AA23)</f>
        <v>39</v>
      </c>
      <c r="H23" s="19">
        <v>4</v>
      </c>
      <c r="I23" s="3">
        <v>0</v>
      </c>
      <c r="J23" s="3">
        <v>81.61</v>
      </c>
      <c r="K23" s="11">
        <v>4</v>
      </c>
      <c r="L23" s="88">
        <v>17</v>
      </c>
      <c r="M23" s="78">
        <v>17</v>
      </c>
      <c r="N23" s="19"/>
      <c r="O23" s="3"/>
      <c r="P23" s="3"/>
      <c r="Q23" s="3"/>
      <c r="R23" s="3"/>
      <c r="S23" s="11" t="str">
        <f t="shared" ref="S23:S29" si="10">IF(N23=0,"",N23)</f>
        <v/>
      </c>
      <c r="T23" s="88"/>
      <c r="U23" s="78" t="str">
        <f t="shared" si="7"/>
        <v/>
      </c>
      <c r="V23" s="19">
        <v>0</v>
      </c>
      <c r="W23" s="3">
        <v>0</v>
      </c>
      <c r="X23" s="3">
        <v>53.35</v>
      </c>
      <c r="Y23" s="11">
        <v>0</v>
      </c>
      <c r="Z23" s="88">
        <v>19</v>
      </c>
      <c r="AA23" s="78">
        <v>19</v>
      </c>
      <c r="AB23" s="19"/>
      <c r="AC23" s="3"/>
      <c r="AD23" s="3"/>
      <c r="AE23" s="3"/>
      <c r="AF23" s="3"/>
      <c r="AG23" s="3"/>
      <c r="AH23" s="11"/>
      <c r="AI23" s="88"/>
      <c r="AJ23" s="78"/>
      <c r="AK23" s="19">
        <v>0</v>
      </c>
      <c r="AL23" s="3">
        <v>0</v>
      </c>
      <c r="AM23" s="3">
        <v>0</v>
      </c>
      <c r="AN23" s="3">
        <v>0</v>
      </c>
      <c r="AO23" s="3">
        <v>0</v>
      </c>
      <c r="AP23" s="3">
        <v>0</v>
      </c>
      <c r="AQ23" s="11">
        <v>0</v>
      </c>
      <c r="AR23" s="88">
        <v>0</v>
      </c>
      <c r="AS23" s="78"/>
      <c r="AT23" s="19">
        <v>0</v>
      </c>
      <c r="AU23" s="3">
        <v>0</v>
      </c>
      <c r="AV23" s="3">
        <v>54.53</v>
      </c>
      <c r="AW23" s="11">
        <v>0</v>
      </c>
      <c r="AX23" s="88">
        <v>20</v>
      </c>
      <c r="AY23" s="162">
        <f>AX23</f>
        <v>20</v>
      </c>
      <c r="AZ23" s="19">
        <v>0</v>
      </c>
      <c r="BA23" s="3">
        <v>0</v>
      </c>
      <c r="BB23" s="3">
        <v>70.06</v>
      </c>
      <c r="BC23" s="11">
        <v>0</v>
      </c>
      <c r="BD23" s="88">
        <v>19</v>
      </c>
      <c r="BE23" s="78">
        <v>19</v>
      </c>
      <c r="BF23" s="300" t="s">
        <v>492</v>
      </c>
      <c r="BG23" t="str">
        <f t="shared" si="8"/>
        <v>ImogenCarmichaelLittle Black SuziPrimary &lt;780</v>
      </c>
    </row>
    <row r="24" spans="1:59">
      <c r="A24" s="3" t="s">
        <v>56</v>
      </c>
      <c r="B24" s="3" t="s">
        <v>57</v>
      </c>
      <c r="C24" s="202" t="s">
        <v>58</v>
      </c>
      <c r="D24" s="3" t="s">
        <v>499</v>
      </c>
      <c r="E24" s="205">
        <v>6</v>
      </c>
      <c r="F24" s="88">
        <f t="shared" si="9"/>
        <v>88</v>
      </c>
      <c r="G24" s="78">
        <f>SUM(AS24,AJ24)</f>
        <v>40</v>
      </c>
      <c r="H24" s="19">
        <v>0</v>
      </c>
      <c r="I24" s="3">
        <v>0</v>
      </c>
      <c r="J24" s="3">
        <v>82.41</v>
      </c>
      <c r="K24" s="11">
        <v>0</v>
      </c>
      <c r="L24" s="88">
        <v>19</v>
      </c>
      <c r="M24" s="78">
        <v>19</v>
      </c>
      <c r="N24" s="19">
        <v>0</v>
      </c>
      <c r="O24" s="3">
        <v>43.45</v>
      </c>
      <c r="P24" s="3"/>
      <c r="Q24" s="3">
        <v>0</v>
      </c>
      <c r="R24" s="3">
        <v>37</v>
      </c>
      <c r="S24" s="11">
        <v>0</v>
      </c>
      <c r="T24" s="88">
        <v>19</v>
      </c>
      <c r="U24" s="78">
        <f t="shared" si="7"/>
        <v>19</v>
      </c>
      <c r="V24" s="19"/>
      <c r="W24" s="3"/>
      <c r="X24" s="3"/>
      <c r="Y24" s="11"/>
      <c r="Z24" s="88"/>
      <c r="AA24" s="78"/>
      <c r="AB24" s="19">
        <v>0</v>
      </c>
      <c r="AC24" s="3">
        <v>0</v>
      </c>
      <c r="AD24" s="3">
        <v>59.8</v>
      </c>
      <c r="AE24" s="3"/>
      <c r="AF24" s="3"/>
      <c r="AG24" s="3">
        <v>0</v>
      </c>
      <c r="AH24" s="11">
        <v>0</v>
      </c>
      <c r="AI24" s="88">
        <v>25</v>
      </c>
      <c r="AJ24" s="78">
        <v>20</v>
      </c>
      <c r="AK24" s="19">
        <v>0</v>
      </c>
      <c r="AL24" s="3">
        <v>0</v>
      </c>
      <c r="AM24" s="3">
        <v>67.97</v>
      </c>
      <c r="AN24" s="3">
        <v>0</v>
      </c>
      <c r="AO24" s="3">
        <v>0</v>
      </c>
      <c r="AP24" s="3">
        <v>0</v>
      </c>
      <c r="AQ24" s="11">
        <v>0</v>
      </c>
      <c r="AR24" s="88">
        <v>25</v>
      </c>
      <c r="AS24" s="78">
        <v>20</v>
      </c>
      <c r="AT24" s="19"/>
      <c r="AU24" s="3"/>
      <c r="AV24" s="3"/>
      <c r="AW24" s="11"/>
      <c r="AX24" s="88"/>
      <c r="AY24" s="78"/>
      <c r="AZ24" s="19"/>
      <c r="BA24" s="3"/>
      <c r="BB24" s="3"/>
      <c r="BC24" s="11"/>
      <c r="BD24" s="88"/>
      <c r="BE24" s="78"/>
      <c r="BF24" s="300" t="s">
        <v>492</v>
      </c>
      <c r="BG24" t="str">
        <f t="shared" si="8"/>
        <v>RubyMilwayARRLOPrimary &lt;780</v>
      </c>
    </row>
    <row r="25" spans="1:59">
      <c r="A25" s="3" t="s">
        <v>48</v>
      </c>
      <c r="B25" s="3" t="s">
        <v>49</v>
      </c>
      <c r="C25" s="202" t="s">
        <v>50</v>
      </c>
      <c r="D25" s="202" t="s">
        <v>51</v>
      </c>
      <c r="E25" s="205">
        <v>6</v>
      </c>
      <c r="F25" s="88">
        <f t="shared" si="9"/>
        <v>0</v>
      </c>
      <c r="G25" s="78"/>
      <c r="H25" s="19"/>
      <c r="I25" s="3"/>
      <c r="J25" s="3"/>
      <c r="K25" s="11"/>
      <c r="L25" s="88"/>
      <c r="M25" s="78"/>
      <c r="N25" s="19"/>
      <c r="O25" s="3"/>
      <c r="P25" s="3"/>
      <c r="Q25" s="3"/>
      <c r="R25" s="3"/>
      <c r="S25" s="11" t="str">
        <f t="shared" si="10"/>
        <v/>
      </c>
      <c r="T25" s="88"/>
      <c r="U25" s="78" t="str">
        <f t="shared" si="7"/>
        <v/>
      </c>
      <c r="V25" s="19"/>
      <c r="W25" s="3"/>
      <c r="X25" s="3"/>
      <c r="Y25" s="11"/>
      <c r="Z25" s="88"/>
      <c r="AA25" s="78"/>
      <c r="AB25" s="19"/>
      <c r="AC25" s="3"/>
      <c r="AD25" s="3"/>
      <c r="AE25" s="3"/>
      <c r="AF25" s="3"/>
      <c r="AG25" s="3"/>
      <c r="AH25" s="11"/>
      <c r="AI25" s="88">
        <v>0</v>
      </c>
      <c r="AJ25" s="78"/>
      <c r="AK25" s="19">
        <v>0</v>
      </c>
      <c r="AL25" s="3">
        <v>0</v>
      </c>
      <c r="AM25" s="3">
        <v>0</v>
      </c>
      <c r="AN25" s="3">
        <v>0</v>
      </c>
      <c r="AO25" s="3">
        <v>0</v>
      </c>
      <c r="AP25" s="3">
        <v>0</v>
      </c>
      <c r="AQ25" s="11">
        <v>0</v>
      </c>
      <c r="AR25" s="88">
        <v>0</v>
      </c>
      <c r="AS25" s="78"/>
      <c r="AT25" s="19"/>
      <c r="AU25" s="3"/>
      <c r="AV25" s="3"/>
      <c r="AW25" s="11"/>
      <c r="AX25" s="88"/>
      <c r="AY25" s="78"/>
      <c r="AZ25" s="129"/>
      <c r="BA25" s="130"/>
      <c r="BB25" s="3"/>
      <c r="BC25" s="11"/>
      <c r="BD25" s="88"/>
      <c r="BE25" s="78"/>
      <c r="BF25" s="300" t="s">
        <v>492</v>
      </c>
      <c r="BG25" t="str">
        <f t="shared" si="8"/>
        <v>ZaraWissellWychwoodPrimary &lt;780</v>
      </c>
    </row>
    <row r="26" spans="1:59">
      <c r="A26" s="202" t="s">
        <v>52</v>
      </c>
      <c r="B26" s="202" t="s">
        <v>53</v>
      </c>
      <c r="C26" s="202" t="s">
        <v>42</v>
      </c>
      <c r="D26" s="202" t="s">
        <v>54</v>
      </c>
      <c r="E26" s="5"/>
      <c r="F26" s="88">
        <f t="shared" si="9"/>
        <v>0</v>
      </c>
      <c r="G26" s="78"/>
      <c r="H26" s="19"/>
      <c r="I26" s="3"/>
      <c r="J26" s="3"/>
      <c r="K26" s="11"/>
      <c r="L26" s="88"/>
      <c r="M26" s="78"/>
      <c r="N26" s="19"/>
      <c r="O26" s="3"/>
      <c r="P26" s="3"/>
      <c r="Q26" s="3"/>
      <c r="R26" s="3"/>
      <c r="S26" s="11" t="str">
        <f t="shared" si="10"/>
        <v/>
      </c>
      <c r="T26" s="88"/>
      <c r="U26" s="78" t="str">
        <f t="shared" si="7"/>
        <v/>
      </c>
      <c r="V26" s="19"/>
      <c r="W26" s="3"/>
      <c r="X26" s="3"/>
      <c r="Y26" s="11"/>
      <c r="Z26" s="88"/>
      <c r="AA26" s="78"/>
      <c r="AB26" s="19">
        <v>0</v>
      </c>
      <c r="AC26" s="3">
        <v>14</v>
      </c>
      <c r="AD26" s="3">
        <v>85.76</v>
      </c>
      <c r="AE26" s="3"/>
      <c r="AF26" s="3"/>
      <c r="AG26" s="3">
        <v>14</v>
      </c>
      <c r="AH26" s="11">
        <v>14</v>
      </c>
      <c r="AI26" s="88"/>
      <c r="AJ26" s="78"/>
      <c r="AK26" s="19">
        <v>0</v>
      </c>
      <c r="AL26" s="3">
        <v>0</v>
      </c>
      <c r="AM26" s="3">
        <v>0</v>
      </c>
      <c r="AN26" s="3">
        <v>0</v>
      </c>
      <c r="AO26" s="3">
        <v>0</v>
      </c>
      <c r="AP26" s="3">
        <v>0</v>
      </c>
      <c r="AQ26" s="11">
        <v>0</v>
      </c>
      <c r="AR26" s="88">
        <v>0</v>
      </c>
      <c r="AS26" s="78"/>
      <c r="AT26" s="19">
        <v>16</v>
      </c>
      <c r="AU26" s="3">
        <v>0</v>
      </c>
      <c r="AV26" s="3">
        <v>64.72</v>
      </c>
      <c r="AW26" s="11">
        <v>16</v>
      </c>
      <c r="AX26" s="88"/>
      <c r="AY26" s="78"/>
      <c r="AZ26" s="19"/>
      <c r="BA26" s="3"/>
      <c r="BB26" s="3"/>
      <c r="BC26" s="11"/>
      <c r="BD26" s="88"/>
      <c r="BE26" s="78"/>
      <c r="BF26" s="300" t="s">
        <v>492</v>
      </c>
      <c r="BG26" t="str">
        <f t="shared" si="8"/>
        <v>Zoe JamesGundermein touch of luckPrimary &lt;780</v>
      </c>
    </row>
    <row r="27" spans="1:59">
      <c r="A27" s="2"/>
      <c r="B27" s="2"/>
      <c r="C27" s="2"/>
      <c r="D27" s="2"/>
      <c r="E27" s="5"/>
      <c r="F27" s="88">
        <f t="shared" si="9"/>
        <v>0</v>
      </c>
      <c r="G27" s="78"/>
      <c r="H27" s="19"/>
      <c r="I27" s="3"/>
      <c r="J27" s="3"/>
      <c r="K27" s="11"/>
      <c r="L27" s="88"/>
      <c r="M27" s="78"/>
      <c r="N27" s="19"/>
      <c r="O27" s="3"/>
      <c r="P27" s="3"/>
      <c r="Q27" s="3"/>
      <c r="R27" s="3"/>
      <c r="S27" s="11" t="str">
        <f t="shared" si="10"/>
        <v/>
      </c>
      <c r="T27" s="88"/>
      <c r="U27" s="78" t="str">
        <f t="shared" ref="U27:U29" si="11">IF(T27="","",T27)</f>
        <v/>
      </c>
      <c r="V27" s="19"/>
      <c r="W27" s="3"/>
      <c r="X27" s="3"/>
      <c r="Y27" s="11"/>
      <c r="Z27" s="88"/>
      <c r="AA27" s="78"/>
      <c r="AB27" s="19"/>
      <c r="AC27" s="3"/>
      <c r="AD27" s="3"/>
      <c r="AE27" s="3"/>
      <c r="AF27" s="3"/>
      <c r="AG27" s="3"/>
      <c r="AH27" s="11"/>
      <c r="AI27" s="88"/>
      <c r="AJ27" s="78"/>
      <c r="AK27" s="19"/>
      <c r="AL27" s="3"/>
      <c r="AM27" s="3"/>
      <c r="AN27" s="3"/>
      <c r="AO27" s="3"/>
      <c r="AP27" s="3"/>
      <c r="AQ27" s="11"/>
      <c r="AR27" s="88">
        <v>0</v>
      </c>
      <c r="AS27" s="78"/>
      <c r="AT27" s="19"/>
      <c r="AU27" s="3"/>
      <c r="AV27" s="3"/>
      <c r="AW27" s="11"/>
      <c r="AX27" s="88"/>
      <c r="AY27" s="78"/>
      <c r="AZ27" s="19"/>
      <c r="BA27" s="3"/>
      <c r="BB27" s="3"/>
      <c r="BC27" s="11"/>
      <c r="BD27" s="88"/>
      <c r="BE27" s="78"/>
    </row>
    <row r="28" spans="1:59">
      <c r="A28" s="2"/>
      <c r="B28" s="2"/>
      <c r="C28" s="2"/>
      <c r="D28" s="2"/>
      <c r="E28" s="5"/>
      <c r="F28" s="88">
        <f t="shared" ref="F28:F30" si="12">SUM(T28,Z28,AI28,AR28,AX28,BD28,L28)</f>
        <v>0</v>
      </c>
      <c r="G28" s="78"/>
      <c r="H28" s="19"/>
      <c r="I28" s="3"/>
      <c r="J28" s="3"/>
      <c r="K28" s="11"/>
      <c r="L28" s="88"/>
      <c r="M28" s="78"/>
      <c r="N28" s="19"/>
      <c r="O28" s="3"/>
      <c r="P28" s="3"/>
      <c r="Q28" s="3"/>
      <c r="R28" s="3"/>
      <c r="S28" s="11" t="str">
        <f t="shared" si="10"/>
        <v/>
      </c>
      <c r="T28" s="385"/>
      <c r="U28" s="78" t="str">
        <f t="shared" si="11"/>
        <v/>
      </c>
      <c r="V28" s="19"/>
      <c r="W28" s="3"/>
      <c r="X28" s="3"/>
      <c r="Y28" s="11"/>
      <c r="Z28" s="88"/>
      <c r="AA28" s="78"/>
      <c r="AB28" s="19"/>
      <c r="AC28" s="3"/>
      <c r="AD28" s="3"/>
      <c r="AE28" s="3"/>
      <c r="AF28" s="3"/>
      <c r="AG28" s="3"/>
      <c r="AH28" s="11"/>
      <c r="AI28" s="88"/>
      <c r="AJ28" s="78"/>
      <c r="AK28" s="19"/>
      <c r="AL28" s="3"/>
      <c r="AM28" s="3"/>
      <c r="AN28" s="3"/>
      <c r="AO28" s="3"/>
      <c r="AP28" s="3"/>
      <c r="AQ28" s="11"/>
      <c r="AR28" s="88"/>
      <c r="AS28" s="78"/>
      <c r="AT28" s="19"/>
      <c r="AU28" s="3"/>
      <c r="AV28" s="3"/>
      <c r="AW28" s="11"/>
      <c r="AX28" s="88"/>
      <c r="AY28" s="78"/>
      <c r="AZ28" s="19"/>
      <c r="BA28" s="3"/>
      <c r="BB28" s="3"/>
      <c r="BC28" s="11"/>
      <c r="BD28" s="88"/>
      <c r="BE28" s="78"/>
    </row>
    <row r="29" spans="1:59">
      <c r="A29" s="2"/>
      <c r="B29" s="2"/>
      <c r="C29" s="3"/>
      <c r="D29" s="3"/>
      <c r="E29" s="11"/>
      <c r="F29" s="88">
        <f t="shared" si="12"/>
        <v>0</v>
      </c>
      <c r="G29" s="78"/>
      <c r="H29" s="19"/>
      <c r="I29" s="3"/>
      <c r="J29" s="3"/>
      <c r="K29" s="11"/>
      <c r="L29" s="88"/>
      <c r="M29" s="78"/>
      <c r="N29" s="19"/>
      <c r="O29" s="3"/>
      <c r="P29" s="3"/>
      <c r="Q29" s="3"/>
      <c r="R29" s="3"/>
      <c r="S29" s="11" t="str">
        <f t="shared" si="10"/>
        <v/>
      </c>
      <c r="T29" s="88"/>
      <c r="U29" s="78" t="str">
        <f t="shared" si="11"/>
        <v/>
      </c>
      <c r="V29" s="19"/>
      <c r="W29" s="3"/>
      <c r="X29" s="3"/>
      <c r="Y29" s="11"/>
      <c r="Z29" s="88"/>
      <c r="AA29" s="78"/>
      <c r="AB29" s="19"/>
      <c r="AC29" s="3"/>
      <c r="AD29" s="3"/>
      <c r="AE29" s="3"/>
      <c r="AF29" s="3"/>
      <c r="AG29" s="3"/>
      <c r="AH29" s="11"/>
      <c r="AI29" s="88"/>
      <c r="AJ29" s="78"/>
      <c r="AK29" s="19"/>
      <c r="AL29" s="3"/>
      <c r="AM29" s="3"/>
      <c r="AN29" s="3"/>
      <c r="AO29" s="3"/>
      <c r="AP29" s="3"/>
      <c r="AQ29" s="11"/>
      <c r="AR29" s="88"/>
      <c r="AS29" s="78"/>
      <c r="AT29" s="19"/>
      <c r="AU29" s="3"/>
      <c r="AV29" s="3"/>
      <c r="AW29" s="11"/>
      <c r="AX29" s="88"/>
      <c r="AY29" s="78"/>
      <c r="AZ29" s="19"/>
      <c r="BA29" s="3"/>
      <c r="BB29" s="3"/>
      <c r="BC29" s="11"/>
      <c r="BD29" s="88"/>
      <c r="BE29" s="78"/>
    </row>
    <row r="30" spans="1:59" ht="16.5" thickBot="1">
      <c r="A30" s="2"/>
      <c r="B30" s="2"/>
      <c r="C30" s="301"/>
      <c r="D30" s="301"/>
      <c r="E30" s="383"/>
      <c r="F30" s="90">
        <f t="shared" si="12"/>
        <v>0</v>
      </c>
      <c r="G30" s="86"/>
      <c r="H30" s="19"/>
      <c r="I30" s="3"/>
      <c r="J30" s="3"/>
      <c r="K30" s="11"/>
      <c r="L30" s="90"/>
      <c r="M30" s="86"/>
      <c r="N30" s="19"/>
      <c r="O30" s="3"/>
      <c r="P30" s="3"/>
      <c r="Q30" s="3"/>
      <c r="R30" s="3"/>
      <c r="S30" s="11"/>
      <c r="T30" s="90"/>
      <c r="U30" s="86"/>
      <c r="V30" s="19"/>
      <c r="W30" s="3"/>
      <c r="X30" s="3"/>
      <c r="Y30" s="11"/>
      <c r="Z30" s="90"/>
      <c r="AA30" s="86"/>
      <c r="AB30" s="19"/>
      <c r="AC30" s="3"/>
      <c r="AD30" s="3"/>
      <c r="AE30" s="3"/>
      <c r="AF30" s="3"/>
      <c r="AG30" s="3"/>
      <c r="AH30" s="11"/>
      <c r="AI30" s="90"/>
      <c r="AJ30" s="86"/>
      <c r="AK30" s="19"/>
      <c r="AL30" s="3"/>
      <c r="AM30" s="3"/>
      <c r="AN30" s="3"/>
      <c r="AO30" s="3"/>
      <c r="AP30" s="3"/>
      <c r="AQ30" s="11"/>
      <c r="AR30" s="90"/>
      <c r="AS30" s="86"/>
      <c r="AT30" s="129"/>
      <c r="AU30" s="130"/>
      <c r="AV30" s="3"/>
      <c r="AW30" s="11"/>
      <c r="AX30" s="90"/>
      <c r="AY30" s="86"/>
      <c r="AZ30" s="19"/>
      <c r="BA30" s="3"/>
      <c r="BB30" s="3"/>
      <c r="BC30" s="11"/>
      <c r="BD30" s="90"/>
      <c r="BE30" s="81"/>
    </row>
    <row r="31" spans="1:59" ht="16.5" thickBot="1">
      <c r="A31" s="7"/>
      <c r="B31" s="7"/>
      <c r="C31" s="186"/>
      <c r="D31" s="186"/>
      <c r="E31" s="186"/>
      <c r="AT31" s="180"/>
      <c r="AU31" s="180"/>
      <c r="BE31" s="180"/>
    </row>
    <row r="32" spans="1:59" ht="24" thickBot="1">
      <c r="A32" s="7"/>
      <c r="B32" s="7"/>
      <c r="H32" s="410" t="s">
        <v>1</v>
      </c>
      <c r="I32" s="411"/>
      <c r="J32" s="411"/>
      <c r="K32" s="411"/>
      <c r="L32" s="411"/>
      <c r="M32" s="412"/>
      <c r="N32" s="399" t="s">
        <v>2</v>
      </c>
      <c r="O32" s="400"/>
      <c r="P32" s="400"/>
      <c r="Q32" s="400"/>
      <c r="R32" s="400"/>
      <c r="S32" s="400"/>
      <c r="T32" s="400"/>
      <c r="U32" s="401"/>
      <c r="V32" s="402" t="s">
        <v>3</v>
      </c>
      <c r="W32" s="403"/>
      <c r="X32" s="403"/>
      <c r="Y32" s="403"/>
      <c r="Z32" s="403"/>
      <c r="AA32" s="404"/>
      <c r="AB32" s="390" t="s">
        <v>4</v>
      </c>
      <c r="AC32" s="391"/>
      <c r="AD32" s="391"/>
      <c r="AE32" s="391"/>
      <c r="AF32" s="391"/>
      <c r="AG32" s="391"/>
      <c r="AH32" s="391"/>
      <c r="AI32" s="391"/>
      <c r="AJ32" s="392"/>
      <c r="AK32" s="393" t="s">
        <v>5</v>
      </c>
      <c r="AL32" s="394"/>
      <c r="AM32" s="394"/>
      <c r="AN32" s="394"/>
      <c r="AO32" s="394"/>
      <c r="AP32" s="394"/>
      <c r="AQ32" s="394"/>
      <c r="AR32" s="394"/>
      <c r="AS32" s="395"/>
      <c r="AT32" s="396" t="s">
        <v>6</v>
      </c>
      <c r="AU32" s="397"/>
      <c r="AV32" s="397"/>
      <c r="AW32" s="397"/>
      <c r="AX32" s="397"/>
      <c r="AY32" s="398"/>
      <c r="AZ32" s="405" t="s">
        <v>7</v>
      </c>
      <c r="BA32" s="406"/>
      <c r="BB32" s="406"/>
      <c r="BC32" s="406"/>
      <c r="BD32" s="406"/>
      <c r="BE32" s="407"/>
    </row>
    <row r="33" spans="1:59" s="43" customFormat="1" ht="63">
      <c r="A33" s="414" t="s">
        <v>59</v>
      </c>
      <c r="B33" s="415"/>
      <c r="C33" s="415"/>
      <c r="D33" s="415"/>
      <c r="E33" s="415"/>
      <c r="F33" s="117" t="s">
        <v>9</v>
      </c>
      <c r="G33" s="51" t="s">
        <v>10</v>
      </c>
      <c r="H33" s="47" t="s">
        <v>11</v>
      </c>
      <c r="I33" s="41" t="s">
        <v>12</v>
      </c>
      <c r="J33" s="42" t="s">
        <v>13</v>
      </c>
      <c r="K33" s="48" t="s">
        <v>14</v>
      </c>
      <c r="L33" s="97" t="s">
        <v>15</v>
      </c>
      <c r="M33" s="51" t="s">
        <v>16</v>
      </c>
      <c r="N33" s="59" t="s">
        <v>11</v>
      </c>
      <c r="O33" s="55" t="s">
        <v>17</v>
      </c>
      <c r="P33" s="61" t="s">
        <v>18</v>
      </c>
      <c r="Q33" s="55" t="s">
        <v>19</v>
      </c>
      <c r="R33" s="248" t="s">
        <v>20</v>
      </c>
      <c r="S33" s="37" t="s">
        <v>14</v>
      </c>
      <c r="T33" s="97" t="s">
        <v>15</v>
      </c>
      <c r="U33" s="51" t="s">
        <v>16</v>
      </c>
      <c r="V33" s="47" t="s">
        <v>11</v>
      </c>
      <c r="W33" s="41" t="s">
        <v>12</v>
      </c>
      <c r="X33" s="42" t="s">
        <v>13</v>
      </c>
      <c r="Y33" s="48" t="s">
        <v>14</v>
      </c>
      <c r="Z33" s="97" t="s">
        <v>15</v>
      </c>
      <c r="AA33" s="51" t="s">
        <v>16</v>
      </c>
      <c r="AB33" s="274" t="s">
        <v>483</v>
      </c>
      <c r="AC33" s="188" t="s">
        <v>484</v>
      </c>
      <c r="AD33" s="275" t="s">
        <v>485</v>
      </c>
      <c r="AE33" s="276" t="s">
        <v>486</v>
      </c>
      <c r="AF33" s="277" t="s">
        <v>487</v>
      </c>
      <c r="AG33" s="246" t="s">
        <v>488</v>
      </c>
      <c r="AH33" s="246" t="s">
        <v>489</v>
      </c>
      <c r="AI33" s="97" t="s">
        <v>15</v>
      </c>
      <c r="AJ33" s="51" t="s">
        <v>16</v>
      </c>
      <c r="AK33" s="274" t="s">
        <v>483</v>
      </c>
      <c r="AL33" s="188" t="s">
        <v>484</v>
      </c>
      <c r="AM33" s="275" t="s">
        <v>485</v>
      </c>
      <c r="AN33" s="276" t="s">
        <v>486</v>
      </c>
      <c r="AO33" s="277" t="s">
        <v>487</v>
      </c>
      <c r="AP33" s="246" t="s">
        <v>488</v>
      </c>
      <c r="AQ33" s="246" t="s">
        <v>489</v>
      </c>
      <c r="AR33" s="97" t="s">
        <v>15</v>
      </c>
      <c r="AS33" s="51" t="s">
        <v>16</v>
      </c>
      <c r="AT33" s="47" t="s">
        <v>11</v>
      </c>
      <c r="AU33" s="297" t="s">
        <v>513</v>
      </c>
      <c r="AV33" s="41" t="s">
        <v>21</v>
      </c>
      <c r="AW33" s="48" t="s">
        <v>14</v>
      </c>
      <c r="AX33" s="97" t="s">
        <v>15</v>
      </c>
      <c r="AY33" s="51" t="s">
        <v>16</v>
      </c>
      <c r="AZ33" s="59" t="s">
        <v>11</v>
      </c>
      <c r="BA33" s="297" t="s">
        <v>513</v>
      </c>
      <c r="BB33" s="56" t="s">
        <v>21</v>
      </c>
      <c r="BC33" s="62" t="s">
        <v>14</v>
      </c>
      <c r="BD33" s="97" t="s">
        <v>15</v>
      </c>
      <c r="BE33" s="51" t="s">
        <v>16</v>
      </c>
      <c r="BF33" s="43">
        <v>90</v>
      </c>
    </row>
    <row r="34" spans="1:59">
      <c r="A34" s="1" t="s">
        <v>22</v>
      </c>
      <c r="B34" s="1" t="s">
        <v>23</v>
      </c>
      <c r="C34" s="1" t="s">
        <v>24</v>
      </c>
      <c r="D34" s="1" t="s">
        <v>25</v>
      </c>
      <c r="E34" s="4" t="s">
        <v>26</v>
      </c>
      <c r="F34" s="88"/>
      <c r="G34" s="78"/>
      <c r="H34" s="19"/>
      <c r="I34" s="3"/>
      <c r="J34" s="3"/>
      <c r="K34" s="11"/>
      <c r="L34" s="88"/>
      <c r="M34" s="78"/>
      <c r="N34" s="19"/>
      <c r="O34" s="3"/>
      <c r="P34" s="3"/>
      <c r="Q34" s="3"/>
      <c r="R34" s="3"/>
      <c r="S34" s="11" t="str">
        <f t="shared" ref="S34" si="13">IF(N34=0,"",N34)</f>
        <v/>
      </c>
      <c r="T34" s="88"/>
      <c r="U34" s="78" t="str">
        <f t="shared" ref="U34:U38" si="14">IF(T34="","",T34)</f>
        <v/>
      </c>
      <c r="V34" s="19"/>
      <c r="W34" s="3"/>
      <c r="X34" s="3"/>
      <c r="Y34" s="11"/>
      <c r="Z34" s="88"/>
      <c r="AA34" s="78"/>
      <c r="AB34" s="19"/>
      <c r="AC34" s="3"/>
      <c r="AD34" s="3"/>
      <c r="AE34" s="3"/>
      <c r="AF34" s="3"/>
      <c r="AG34" s="3"/>
      <c r="AH34" s="11"/>
      <c r="AI34" s="88"/>
      <c r="AJ34" s="78"/>
      <c r="AK34" s="19"/>
      <c r="AL34" s="3"/>
      <c r="AM34" s="3"/>
      <c r="AN34" s="3"/>
      <c r="AO34" s="3"/>
      <c r="AP34" s="3"/>
      <c r="AQ34" s="11"/>
      <c r="AR34" s="88"/>
      <c r="AS34" s="78"/>
      <c r="AT34" s="19"/>
      <c r="AU34" s="3"/>
      <c r="AV34" s="3"/>
      <c r="AW34" s="11"/>
      <c r="AX34" s="88"/>
      <c r="AY34" s="78"/>
      <c r="AZ34" s="19"/>
      <c r="BA34" s="3"/>
      <c r="BB34" s="3"/>
      <c r="BC34" s="11"/>
      <c r="BD34" s="88"/>
      <c r="BE34" s="78"/>
      <c r="BF34" s="300" t="s">
        <v>492</v>
      </c>
      <c r="BG34" t="str">
        <f>A34&amp;B34&amp;D34&amp;BF34&amp;$BF$33</f>
        <v>Rider First NameRider Last NameName of Pony/HorsePrimary &lt;790</v>
      </c>
    </row>
    <row r="35" spans="1:59">
      <c r="A35" s="3" t="s">
        <v>56</v>
      </c>
      <c r="B35" s="3" t="s">
        <v>57</v>
      </c>
      <c r="C35" s="202" t="s">
        <v>58</v>
      </c>
      <c r="D35" s="3" t="s">
        <v>499</v>
      </c>
      <c r="E35" s="205">
        <v>6</v>
      </c>
      <c r="F35" s="88">
        <f>SUM(T35,Z35,AI35,AR35,AX35,L35,BD35)</f>
        <v>110</v>
      </c>
      <c r="G35" s="78">
        <f>SUM(AS35,AJ35)</f>
        <v>40</v>
      </c>
      <c r="H35" s="19">
        <v>4</v>
      </c>
      <c r="I35" s="3">
        <v>0</v>
      </c>
      <c r="J35" s="3">
        <v>80.11</v>
      </c>
      <c r="K35" s="11">
        <v>4</v>
      </c>
      <c r="L35" s="88">
        <v>20</v>
      </c>
      <c r="M35" s="78">
        <v>20</v>
      </c>
      <c r="N35" s="19">
        <v>0</v>
      </c>
      <c r="O35" s="3">
        <v>48.92</v>
      </c>
      <c r="P35" s="3">
        <v>42.85</v>
      </c>
      <c r="Q35" s="3">
        <v>0</v>
      </c>
      <c r="R35" s="3">
        <v>42.85</v>
      </c>
      <c r="S35" s="11">
        <v>0</v>
      </c>
      <c r="T35" s="88">
        <v>20</v>
      </c>
      <c r="U35" s="78">
        <f t="shared" si="14"/>
        <v>20</v>
      </c>
      <c r="V35" s="19"/>
      <c r="W35" s="3"/>
      <c r="X35" s="3"/>
      <c r="Y35" s="11"/>
      <c r="Z35" s="88"/>
      <c r="AA35" s="78"/>
      <c r="AB35" s="19">
        <v>0</v>
      </c>
      <c r="AC35" s="3">
        <v>0</v>
      </c>
      <c r="AD35" s="3">
        <v>63.38</v>
      </c>
      <c r="AE35" s="3">
        <v>0</v>
      </c>
      <c r="AF35" s="3">
        <v>52.53</v>
      </c>
      <c r="AG35" s="3">
        <v>0</v>
      </c>
      <c r="AH35" s="11">
        <v>0</v>
      </c>
      <c r="AI35" s="88">
        <v>25</v>
      </c>
      <c r="AJ35" s="78">
        <v>20</v>
      </c>
      <c r="AK35" s="19">
        <v>0</v>
      </c>
      <c r="AL35" s="3">
        <v>0</v>
      </c>
      <c r="AM35" s="3">
        <v>62.62</v>
      </c>
      <c r="AN35" s="3">
        <v>0</v>
      </c>
      <c r="AO35" s="3">
        <v>0</v>
      </c>
      <c r="AP35" s="3">
        <v>0</v>
      </c>
      <c r="AQ35" s="11">
        <v>0</v>
      </c>
      <c r="AR35" s="88">
        <v>25</v>
      </c>
      <c r="AS35" s="78">
        <v>20</v>
      </c>
      <c r="AT35" s="19"/>
      <c r="AU35" s="3"/>
      <c r="AV35" s="3"/>
      <c r="AW35" s="11"/>
      <c r="AX35" s="88"/>
      <c r="AY35" s="78"/>
      <c r="AZ35" s="19">
        <v>0</v>
      </c>
      <c r="BA35" s="3">
        <v>0</v>
      </c>
      <c r="BB35" s="130">
        <v>66.83</v>
      </c>
      <c r="BC35" s="11">
        <v>0</v>
      </c>
      <c r="BD35" s="88">
        <v>20</v>
      </c>
      <c r="BE35" s="78"/>
      <c r="BF35" s="300" t="s">
        <v>492</v>
      </c>
      <c r="BG35" t="str">
        <f t="shared" ref="BG35" si="15">A35&amp;B35&amp;D35&amp;BF35&amp;$BF$33</f>
        <v>RubyMilwayARRLOPrimary &lt;790</v>
      </c>
    </row>
    <row r="36" spans="1:59">
      <c r="A36" s="2"/>
      <c r="B36" s="2"/>
      <c r="C36" s="2"/>
      <c r="D36" s="2"/>
      <c r="E36" s="5"/>
      <c r="F36" s="88">
        <f>SUM(T36,Z36,AI36,AR36,AX36,BD36,L36)</f>
        <v>0</v>
      </c>
      <c r="G36" s="78"/>
      <c r="H36" s="19"/>
      <c r="I36" s="3"/>
      <c r="J36" s="3"/>
      <c r="K36" s="11"/>
      <c r="L36" s="88"/>
      <c r="M36" s="78"/>
      <c r="N36" s="19"/>
      <c r="O36" s="3"/>
      <c r="P36" s="3"/>
      <c r="Q36" s="3"/>
      <c r="R36" s="3"/>
      <c r="S36" s="11" t="str">
        <f t="shared" ref="S36:S38" si="16">IF(N36=0,"",N36)</f>
        <v/>
      </c>
      <c r="T36" s="88"/>
      <c r="U36" s="78" t="str">
        <f t="shared" si="14"/>
        <v/>
      </c>
      <c r="V36" s="19"/>
      <c r="W36" s="3"/>
      <c r="X36" s="3"/>
      <c r="Y36" s="11"/>
      <c r="Z36" s="88"/>
      <c r="AA36" s="78"/>
      <c r="AB36" s="19"/>
      <c r="AC36" s="3"/>
      <c r="AD36" s="3"/>
      <c r="AE36" s="3"/>
      <c r="AF36" s="3"/>
      <c r="AG36" s="3"/>
      <c r="AH36" s="11"/>
      <c r="AI36" s="88"/>
      <c r="AJ36" s="78"/>
      <c r="AK36" s="19"/>
      <c r="AL36" s="3"/>
      <c r="AM36" s="3"/>
      <c r="AN36" s="3"/>
      <c r="AO36" s="3"/>
      <c r="AP36" s="3"/>
      <c r="AQ36" s="11"/>
      <c r="AR36" s="88"/>
      <c r="AS36" s="78"/>
      <c r="AT36" s="19"/>
      <c r="AU36" s="3"/>
      <c r="AV36" s="3"/>
      <c r="AW36" s="11"/>
      <c r="AX36" s="88"/>
      <c r="AY36" s="78"/>
      <c r="AZ36" s="19"/>
      <c r="BA36" s="3"/>
      <c r="BB36" s="3"/>
      <c r="BC36" s="11"/>
      <c r="BD36" s="88"/>
      <c r="BE36" s="78"/>
      <c r="BF36" s="300" t="s">
        <v>492</v>
      </c>
    </row>
    <row r="37" spans="1:59">
      <c r="A37" s="3"/>
      <c r="B37" s="3"/>
      <c r="C37" s="3"/>
      <c r="D37" s="3"/>
      <c r="E37" s="11"/>
      <c r="F37" s="88">
        <f>SUM(T37,Z37,AI37,AR37,AX37,BD37,L37)</f>
        <v>0</v>
      </c>
      <c r="G37" s="78"/>
      <c r="H37" s="19"/>
      <c r="I37" s="3"/>
      <c r="J37" s="3"/>
      <c r="K37" s="11"/>
      <c r="L37" s="88"/>
      <c r="M37" s="78"/>
      <c r="N37" s="19"/>
      <c r="O37" s="3"/>
      <c r="P37" s="3"/>
      <c r="Q37" s="3"/>
      <c r="R37" s="3"/>
      <c r="S37" s="11" t="str">
        <f t="shared" si="16"/>
        <v/>
      </c>
      <c r="T37" s="88"/>
      <c r="U37" s="78" t="str">
        <f t="shared" si="14"/>
        <v/>
      </c>
      <c r="V37" s="19"/>
      <c r="W37" s="3"/>
      <c r="X37" s="3"/>
      <c r="Y37" s="11"/>
      <c r="Z37" s="88"/>
      <c r="AA37" s="78"/>
      <c r="AB37" s="19"/>
      <c r="AC37" s="3"/>
      <c r="AD37" s="3"/>
      <c r="AE37" s="3"/>
      <c r="AF37" s="3"/>
      <c r="AG37" s="3"/>
      <c r="AH37" s="11"/>
      <c r="AI37" s="88"/>
      <c r="AJ37" s="78"/>
      <c r="AK37" s="19"/>
      <c r="AL37" s="3"/>
      <c r="AM37" s="3"/>
      <c r="AN37" s="3"/>
      <c r="AO37" s="3"/>
      <c r="AP37" s="3"/>
      <c r="AQ37" s="11"/>
      <c r="AR37" s="88"/>
      <c r="AS37" s="78"/>
      <c r="AT37" s="19"/>
      <c r="AU37" s="3"/>
      <c r="AV37" s="3"/>
      <c r="AW37" s="11"/>
      <c r="AX37" s="88"/>
      <c r="AY37" s="78"/>
      <c r="AZ37" s="19"/>
      <c r="BA37" s="3"/>
      <c r="BB37" s="3"/>
      <c r="BC37" s="11"/>
      <c r="BD37" s="88"/>
      <c r="BE37" s="78"/>
      <c r="BF37" s="300" t="s">
        <v>492</v>
      </c>
    </row>
    <row r="38" spans="1:59" ht="16.5" thickBot="1">
      <c r="A38" s="3"/>
      <c r="B38" s="3"/>
      <c r="C38" s="3"/>
      <c r="D38" s="3"/>
      <c r="E38" s="11"/>
      <c r="F38" s="90">
        <f>SUM(T38,Z38,AI38,AR38,AX38,BD38,L38)</f>
        <v>0</v>
      </c>
      <c r="G38" s="86"/>
      <c r="H38" s="19"/>
      <c r="I38" s="3"/>
      <c r="J38" s="3"/>
      <c r="K38" s="11"/>
      <c r="L38" s="90"/>
      <c r="M38" s="86"/>
      <c r="N38" s="19"/>
      <c r="O38" s="3"/>
      <c r="P38" s="3"/>
      <c r="Q38" s="3"/>
      <c r="R38" s="3"/>
      <c r="S38" s="11" t="str">
        <f t="shared" si="16"/>
        <v/>
      </c>
      <c r="T38" s="90"/>
      <c r="U38" s="86" t="str">
        <f t="shared" si="14"/>
        <v/>
      </c>
      <c r="V38" s="19"/>
      <c r="W38" s="3"/>
      <c r="X38" s="3"/>
      <c r="Y38" s="11"/>
      <c r="Z38" s="90"/>
      <c r="AA38" s="86"/>
      <c r="AB38" s="19"/>
      <c r="AC38" s="3"/>
      <c r="AD38" s="3"/>
      <c r="AE38" s="3"/>
      <c r="AF38" s="3"/>
      <c r="AG38" s="3"/>
      <c r="AH38" s="11"/>
      <c r="AI38" s="90"/>
      <c r="AJ38" s="86"/>
      <c r="AK38" s="19"/>
      <c r="AL38" s="3"/>
      <c r="AM38" s="3"/>
      <c r="AN38" s="3"/>
      <c r="AO38" s="3"/>
      <c r="AP38" s="3"/>
      <c r="AQ38" s="11"/>
      <c r="AR38" s="90"/>
      <c r="AS38" s="86"/>
      <c r="AT38" s="19"/>
      <c r="AU38" s="3"/>
      <c r="AV38" s="3"/>
      <c r="AW38" s="11"/>
      <c r="AX38" s="90"/>
      <c r="AY38" s="86"/>
      <c r="AZ38" s="19"/>
      <c r="BA38" s="3"/>
      <c r="BB38" s="3"/>
      <c r="BC38" s="11"/>
      <c r="BD38" s="90"/>
      <c r="BE38" s="86"/>
      <c r="BF38" s="300" t="s">
        <v>492</v>
      </c>
    </row>
    <row r="39" spans="1:59" ht="16.5" thickBot="1"/>
    <row r="40" spans="1:59" ht="24" thickBot="1">
      <c r="H40" s="410" t="s">
        <v>1</v>
      </c>
      <c r="I40" s="411"/>
      <c r="J40" s="411"/>
      <c r="K40" s="411"/>
      <c r="L40" s="411"/>
      <c r="M40" s="412"/>
      <c r="N40" s="399" t="s">
        <v>2</v>
      </c>
      <c r="O40" s="400"/>
      <c r="P40" s="400"/>
      <c r="Q40" s="400"/>
      <c r="R40" s="400"/>
      <c r="S40" s="400"/>
      <c r="T40" s="400"/>
      <c r="U40" s="401"/>
      <c r="V40" s="402" t="s">
        <v>3</v>
      </c>
      <c r="W40" s="403"/>
      <c r="X40" s="403"/>
      <c r="Y40" s="403"/>
      <c r="Z40" s="403"/>
      <c r="AA40" s="404"/>
      <c r="AB40" s="390" t="s">
        <v>4</v>
      </c>
      <c r="AC40" s="391"/>
      <c r="AD40" s="391"/>
      <c r="AE40" s="391"/>
      <c r="AF40" s="391"/>
      <c r="AG40" s="391"/>
      <c r="AH40" s="391"/>
      <c r="AI40" s="391"/>
      <c r="AJ40" s="392"/>
      <c r="AK40" s="393" t="s">
        <v>5</v>
      </c>
      <c r="AL40" s="394"/>
      <c r="AM40" s="394"/>
      <c r="AN40" s="394"/>
      <c r="AO40" s="394"/>
      <c r="AP40" s="394"/>
      <c r="AQ40" s="394"/>
      <c r="AR40" s="394"/>
      <c r="AS40" s="395"/>
      <c r="AT40" s="396" t="s">
        <v>6</v>
      </c>
      <c r="AU40" s="397"/>
      <c r="AV40" s="397"/>
      <c r="AW40" s="397"/>
      <c r="AX40" s="397"/>
      <c r="AY40" s="398"/>
      <c r="AZ40" s="405" t="s">
        <v>7</v>
      </c>
      <c r="BA40" s="406"/>
      <c r="BB40" s="406"/>
      <c r="BC40" s="406"/>
      <c r="BD40" s="406"/>
      <c r="BE40" s="407"/>
    </row>
    <row r="41" spans="1:59" s="43" customFormat="1" ht="63">
      <c r="A41" s="414" t="s">
        <v>60</v>
      </c>
      <c r="B41" s="415"/>
      <c r="C41" s="415"/>
      <c r="D41" s="415"/>
      <c r="E41" s="415"/>
      <c r="F41" s="117" t="s">
        <v>9</v>
      </c>
      <c r="G41" s="51" t="s">
        <v>10</v>
      </c>
      <c r="H41" s="47" t="s">
        <v>11</v>
      </c>
      <c r="I41" s="41" t="s">
        <v>12</v>
      </c>
      <c r="J41" s="42" t="s">
        <v>13</v>
      </c>
      <c r="K41" s="48" t="s">
        <v>14</v>
      </c>
      <c r="L41" s="97" t="s">
        <v>15</v>
      </c>
      <c r="M41" s="51" t="s">
        <v>16</v>
      </c>
      <c r="N41" s="59" t="s">
        <v>11</v>
      </c>
      <c r="O41" s="55" t="s">
        <v>17</v>
      </c>
      <c r="P41" s="61" t="s">
        <v>18</v>
      </c>
      <c r="Q41" s="55" t="s">
        <v>19</v>
      </c>
      <c r="R41" s="39" t="s">
        <v>466</v>
      </c>
      <c r="S41" s="37" t="s">
        <v>14</v>
      </c>
      <c r="T41" s="97" t="s">
        <v>15</v>
      </c>
      <c r="U41" s="51" t="s">
        <v>16</v>
      </c>
      <c r="V41" s="47" t="s">
        <v>11</v>
      </c>
      <c r="W41" s="41" t="s">
        <v>12</v>
      </c>
      <c r="X41" s="42" t="s">
        <v>13</v>
      </c>
      <c r="Y41" s="48" t="s">
        <v>14</v>
      </c>
      <c r="Z41" s="97" t="s">
        <v>15</v>
      </c>
      <c r="AA41" s="51" t="s">
        <v>16</v>
      </c>
      <c r="AB41" s="274" t="s">
        <v>483</v>
      </c>
      <c r="AC41" s="188" t="s">
        <v>484</v>
      </c>
      <c r="AD41" s="275" t="s">
        <v>485</v>
      </c>
      <c r="AE41" s="276" t="s">
        <v>486</v>
      </c>
      <c r="AF41" s="277" t="s">
        <v>487</v>
      </c>
      <c r="AG41" s="246" t="s">
        <v>488</v>
      </c>
      <c r="AH41" s="246" t="s">
        <v>489</v>
      </c>
      <c r="AI41" s="97" t="s">
        <v>15</v>
      </c>
      <c r="AJ41" s="51" t="s">
        <v>16</v>
      </c>
      <c r="AK41" s="274" t="s">
        <v>483</v>
      </c>
      <c r="AL41" s="188" t="s">
        <v>484</v>
      </c>
      <c r="AM41" s="275" t="s">
        <v>485</v>
      </c>
      <c r="AN41" s="276" t="s">
        <v>486</v>
      </c>
      <c r="AO41" s="277" t="s">
        <v>487</v>
      </c>
      <c r="AP41" s="246" t="s">
        <v>488</v>
      </c>
      <c r="AQ41" s="246" t="s">
        <v>489</v>
      </c>
      <c r="AR41" s="97" t="s">
        <v>15</v>
      </c>
      <c r="AS41" s="51" t="s">
        <v>16</v>
      </c>
      <c r="AT41" s="47" t="s">
        <v>11</v>
      </c>
      <c r="AU41" s="297" t="s">
        <v>513</v>
      </c>
      <c r="AV41" s="41" t="s">
        <v>21</v>
      </c>
      <c r="AW41" s="48" t="s">
        <v>14</v>
      </c>
      <c r="AX41" s="97" t="s">
        <v>15</v>
      </c>
      <c r="AY41" s="51" t="s">
        <v>16</v>
      </c>
      <c r="AZ41" s="59" t="s">
        <v>11</v>
      </c>
      <c r="BA41" s="297" t="s">
        <v>513</v>
      </c>
      <c r="BB41" s="56" t="s">
        <v>21</v>
      </c>
      <c r="BC41" s="62" t="s">
        <v>14</v>
      </c>
      <c r="BD41" s="97" t="s">
        <v>15</v>
      </c>
      <c r="BE41" s="51" t="s">
        <v>16</v>
      </c>
      <c r="BF41" s="43">
        <v>90</v>
      </c>
    </row>
    <row r="42" spans="1:59">
      <c r="A42" s="1" t="s">
        <v>22</v>
      </c>
      <c r="B42" s="1" t="s">
        <v>23</v>
      </c>
      <c r="C42" s="1" t="s">
        <v>24</v>
      </c>
      <c r="D42" s="1" t="s">
        <v>25</v>
      </c>
      <c r="E42" s="4" t="s">
        <v>26</v>
      </c>
      <c r="F42" s="88"/>
      <c r="G42" s="78"/>
      <c r="H42" s="19"/>
      <c r="I42" s="3"/>
      <c r="J42" s="3"/>
      <c r="K42" s="11"/>
      <c r="L42" s="88"/>
      <c r="M42" s="78"/>
      <c r="N42" s="19"/>
      <c r="O42" s="3"/>
      <c r="P42" s="3"/>
      <c r="Q42" s="3"/>
      <c r="R42" s="3"/>
      <c r="S42" s="11" t="str">
        <f t="shared" ref="S42:S56" si="17">IF(N42=0,"",N42)</f>
        <v/>
      </c>
      <c r="T42" s="88"/>
      <c r="U42" s="78"/>
      <c r="V42" s="19"/>
      <c r="W42" s="3"/>
      <c r="X42" s="3"/>
      <c r="Y42" s="11"/>
      <c r="Z42" s="88"/>
      <c r="AA42" s="78"/>
      <c r="AB42" s="19"/>
      <c r="AC42" s="3"/>
      <c r="AD42" s="3"/>
      <c r="AE42" s="3"/>
      <c r="AF42" s="3"/>
      <c r="AG42" s="3"/>
      <c r="AH42" s="11"/>
      <c r="AI42" s="88"/>
      <c r="AJ42" s="78"/>
      <c r="AK42" s="19"/>
      <c r="AL42" s="3"/>
      <c r="AM42" s="3"/>
      <c r="AN42" s="3"/>
      <c r="AO42" s="3"/>
      <c r="AP42" s="3"/>
      <c r="AQ42" s="11"/>
      <c r="AR42" s="88"/>
      <c r="AS42" s="78"/>
      <c r="AT42" s="19"/>
      <c r="AU42" s="3"/>
      <c r="AV42" s="3"/>
      <c r="AW42" s="11"/>
      <c r="AX42" s="88"/>
      <c r="AY42" s="78"/>
      <c r="AZ42" s="19"/>
      <c r="BA42" s="3"/>
      <c r="BB42" s="3"/>
      <c r="BC42" s="11"/>
      <c r="BD42" s="88"/>
      <c r="BE42" s="78"/>
      <c r="BF42" s="298" t="s">
        <v>490</v>
      </c>
    </row>
    <row r="43" spans="1:59">
      <c r="A43" s="3" t="s">
        <v>61</v>
      </c>
      <c r="B43" s="3" t="s">
        <v>62</v>
      </c>
      <c r="C43" s="202" t="s">
        <v>63</v>
      </c>
      <c r="D43" s="202" t="s">
        <v>64</v>
      </c>
      <c r="E43" s="218">
        <v>7</v>
      </c>
      <c r="F43" s="88">
        <f>SUM(T43,Z43,AI43,AR43,AX43,BD43,L43)</f>
        <v>0</v>
      </c>
      <c r="G43" s="78"/>
      <c r="H43" s="19"/>
      <c r="I43" s="3"/>
      <c r="J43" s="3"/>
      <c r="K43" s="11"/>
      <c r="L43" s="88"/>
      <c r="M43" s="78"/>
      <c r="N43" s="19"/>
      <c r="O43" s="3"/>
      <c r="P43" s="3"/>
      <c r="Q43" s="3"/>
      <c r="R43" s="3"/>
      <c r="S43" s="11" t="str">
        <f t="shared" si="17"/>
        <v/>
      </c>
      <c r="T43" s="88"/>
      <c r="U43" s="78" t="str">
        <f t="shared" ref="U43:U55" si="18">IF(T43="","",T43)</f>
        <v/>
      </c>
      <c r="V43" s="19"/>
      <c r="W43" s="3"/>
      <c r="X43" s="3"/>
      <c r="Y43" s="11"/>
      <c r="Z43" s="88"/>
      <c r="AA43" s="78"/>
      <c r="AB43" s="19">
        <v>0</v>
      </c>
      <c r="AC43" s="3">
        <v>0</v>
      </c>
      <c r="AD43" s="3">
        <v>0</v>
      </c>
      <c r="AE43" s="3">
        <v>0</v>
      </c>
      <c r="AF43" s="3">
        <v>0</v>
      </c>
      <c r="AG43" s="3">
        <v>0</v>
      </c>
      <c r="AH43" s="11">
        <v>0</v>
      </c>
      <c r="AI43" s="88"/>
      <c r="AJ43" s="78"/>
      <c r="AK43" s="19">
        <v>0</v>
      </c>
      <c r="AL43" s="3">
        <v>0</v>
      </c>
      <c r="AM43" s="3">
        <v>0</v>
      </c>
      <c r="AN43" s="3">
        <v>0</v>
      </c>
      <c r="AO43" s="3">
        <v>0</v>
      </c>
      <c r="AP43" s="3">
        <v>0</v>
      </c>
      <c r="AQ43" s="11">
        <v>0</v>
      </c>
      <c r="AR43" s="88">
        <v>0</v>
      </c>
      <c r="AS43" s="78"/>
      <c r="AT43" s="19"/>
      <c r="AU43" s="3"/>
      <c r="AV43" s="3"/>
      <c r="AW43" s="11"/>
      <c r="AX43" s="88"/>
      <c r="AY43" s="78"/>
      <c r="AZ43" s="19"/>
      <c r="BA43" s="3"/>
      <c r="BB43" s="3"/>
      <c r="BC43" s="11"/>
      <c r="BD43" s="88"/>
      <c r="BE43" s="78"/>
      <c r="BF43" s="298" t="s">
        <v>490</v>
      </c>
      <c r="BG43" t="str">
        <f>A43&amp;B43&amp;D43&amp;BF43&amp;$BF$41</f>
        <v>AbigailGrahamWyann Guns and RosesIntermediate 7-990</v>
      </c>
    </row>
    <row r="44" spans="1:59">
      <c r="A44" s="3" t="s">
        <v>65</v>
      </c>
      <c r="B44" s="3" t="s">
        <v>66</v>
      </c>
      <c r="C44" s="3" t="s">
        <v>67</v>
      </c>
      <c r="D44" s="3" t="s">
        <v>68</v>
      </c>
      <c r="E44" s="205">
        <v>9</v>
      </c>
      <c r="F44" s="88">
        <f t="shared" ref="F44:F54" si="19">SUM(T44,Z44,AI44,AR44,AX44,BD44,L44)</f>
        <v>20</v>
      </c>
      <c r="G44" s="78"/>
      <c r="H44" s="19" t="s">
        <v>69</v>
      </c>
      <c r="I44" s="3"/>
      <c r="J44" s="3"/>
      <c r="K44" s="11" t="s">
        <v>69</v>
      </c>
      <c r="L44" s="88"/>
      <c r="M44" s="78" t="s">
        <v>31</v>
      </c>
      <c r="N44" s="19">
        <v>0</v>
      </c>
      <c r="O44" s="3">
        <v>49.83</v>
      </c>
      <c r="P44" s="3">
        <v>43.38</v>
      </c>
      <c r="Q44" s="3">
        <v>0</v>
      </c>
      <c r="R44" s="3">
        <v>43.38</v>
      </c>
      <c r="S44" s="11">
        <v>0</v>
      </c>
      <c r="T44" s="88">
        <v>20</v>
      </c>
      <c r="U44" s="78">
        <f t="shared" si="18"/>
        <v>20</v>
      </c>
      <c r="V44" s="19" t="s">
        <v>70</v>
      </c>
      <c r="W44" s="3"/>
      <c r="X44" s="3"/>
      <c r="Y44" s="11"/>
      <c r="Z44" s="88"/>
      <c r="AA44" s="78" t="s">
        <v>31</v>
      </c>
      <c r="AB44" s="19" t="s">
        <v>494</v>
      </c>
      <c r="AC44" s="3">
        <v>0</v>
      </c>
      <c r="AD44" s="3">
        <v>0</v>
      </c>
      <c r="AE44" s="3">
        <v>0</v>
      </c>
      <c r="AF44" s="3">
        <v>0</v>
      </c>
      <c r="AG44" s="3">
        <v>0</v>
      </c>
      <c r="AH44" s="11">
        <v>0</v>
      </c>
      <c r="AI44" s="88" t="s">
        <v>493</v>
      </c>
      <c r="AJ44" s="78"/>
      <c r="AK44" s="19">
        <v>12</v>
      </c>
      <c r="AL44" s="3">
        <v>36</v>
      </c>
      <c r="AM44" s="3">
        <v>110.59</v>
      </c>
      <c r="AN44" s="3">
        <v>0</v>
      </c>
      <c r="AO44" s="3">
        <v>0</v>
      </c>
      <c r="AP44" s="3">
        <v>48</v>
      </c>
      <c r="AQ44" s="11">
        <v>48</v>
      </c>
      <c r="AR44" s="88">
        <v>0</v>
      </c>
      <c r="AS44" s="78"/>
      <c r="AT44" s="19" t="s">
        <v>70</v>
      </c>
      <c r="AU44" s="3"/>
      <c r="AV44" s="3"/>
      <c r="AW44" s="11"/>
      <c r="AX44" s="88"/>
      <c r="AY44" s="78"/>
      <c r="AZ44" s="19">
        <v>12</v>
      </c>
      <c r="BA44" s="3">
        <v>16</v>
      </c>
      <c r="BB44" s="3">
        <v>99.55</v>
      </c>
      <c r="BC44" s="11">
        <v>28</v>
      </c>
      <c r="BD44" s="88"/>
      <c r="BE44" s="78"/>
      <c r="BF44" s="298" t="s">
        <v>490</v>
      </c>
      <c r="BG44" t="str">
        <f t="shared" ref="BG44:BG55" si="20">A44&amp;B44&amp;D44&amp;BF44&amp;$BF$41</f>
        <v>AnnabelleKnowlesSandon Grove Bobby RoyalIntermediate 7-990</v>
      </c>
    </row>
    <row r="45" spans="1:59">
      <c r="A45" s="221" t="s">
        <v>36</v>
      </c>
      <c r="B45" s="221" t="s">
        <v>71</v>
      </c>
      <c r="C45" s="221" t="s">
        <v>72</v>
      </c>
      <c r="D45" s="225" t="s">
        <v>73</v>
      </c>
      <c r="E45" s="205">
        <v>8</v>
      </c>
      <c r="F45" s="88">
        <f t="shared" si="19"/>
        <v>18</v>
      </c>
      <c r="G45" s="78"/>
      <c r="H45" s="19"/>
      <c r="I45" s="3"/>
      <c r="J45" s="3"/>
      <c r="K45" s="11"/>
      <c r="L45" s="88"/>
      <c r="M45" s="78"/>
      <c r="N45" s="19">
        <v>4</v>
      </c>
      <c r="O45" s="3">
        <v>53.85</v>
      </c>
      <c r="P45" s="3">
        <v>50.83</v>
      </c>
      <c r="Q45" s="3">
        <v>0</v>
      </c>
      <c r="R45" s="3">
        <v>50.83</v>
      </c>
      <c r="S45" s="11">
        <f t="shared" si="17"/>
        <v>4</v>
      </c>
      <c r="T45" s="88">
        <v>18</v>
      </c>
      <c r="U45" s="78">
        <f t="shared" si="18"/>
        <v>18</v>
      </c>
      <c r="V45" s="19" t="s">
        <v>70</v>
      </c>
      <c r="W45" s="3"/>
      <c r="X45" s="3"/>
      <c r="Y45" s="11"/>
      <c r="Z45" s="377"/>
      <c r="AA45" s="78" t="s">
        <v>31</v>
      </c>
      <c r="AB45" s="19" t="s">
        <v>494</v>
      </c>
      <c r="AC45" s="3">
        <v>0</v>
      </c>
      <c r="AD45" s="3">
        <v>0</v>
      </c>
      <c r="AE45" s="3">
        <v>0</v>
      </c>
      <c r="AF45" s="3">
        <v>0</v>
      </c>
      <c r="AG45" s="3">
        <v>0</v>
      </c>
      <c r="AH45" s="11">
        <v>0</v>
      </c>
      <c r="AI45" s="88" t="s">
        <v>493</v>
      </c>
      <c r="AJ45" s="78"/>
      <c r="AK45" s="19" t="s">
        <v>494</v>
      </c>
      <c r="AL45" s="3">
        <v>0</v>
      </c>
      <c r="AM45" s="3">
        <v>0</v>
      </c>
      <c r="AN45" s="3">
        <v>0</v>
      </c>
      <c r="AO45" s="3">
        <v>0</v>
      </c>
      <c r="AP45" s="3">
        <v>0</v>
      </c>
      <c r="AQ45" s="11">
        <v>0</v>
      </c>
      <c r="AR45" s="88">
        <v>0</v>
      </c>
      <c r="AS45" s="78"/>
      <c r="AT45" s="19"/>
      <c r="AU45" s="3"/>
      <c r="AV45" s="3"/>
      <c r="AW45" s="11"/>
      <c r="AX45" s="155"/>
      <c r="AY45" s="162"/>
      <c r="AZ45" s="19"/>
      <c r="BA45" s="3"/>
      <c r="BB45" s="3"/>
      <c r="BC45" s="11"/>
      <c r="BD45" s="88"/>
      <c r="BE45" s="78"/>
      <c r="BF45" s="298" t="s">
        <v>490</v>
      </c>
      <c r="BG45" t="str">
        <f t="shared" si="20"/>
        <v>EllieDigneyThere and back again Intermediate 7-990</v>
      </c>
    </row>
    <row r="46" spans="1:59">
      <c r="A46" s="3" t="s">
        <v>74</v>
      </c>
      <c r="B46" s="3" t="s">
        <v>75</v>
      </c>
      <c r="C46" s="202" t="s">
        <v>63</v>
      </c>
      <c r="D46" s="202" t="s">
        <v>76</v>
      </c>
      <c r="E46" s="218">
        <v>8</v>
      </c>
      <c r="F46" s="88">
        <f t="shared" si="19"/>
        <v>0</v>
      </c>
      <c r="G46" s="78"/>
      <c r="H46" s="19"/>
      <c r="I46" s="3"/>
      <c r="J46" s="3"/>
      <c r="K46" s="11"/>
      <c r="L46" s="88"/>
      <c r="M46" s="78"/>
      <c r="N46" s="19"/>
      <c r="O46" s="3"/>
      <c r="P46" s="3"/>
      <c r="Q46" s="3"/>
      <c r="R46" s="3"/>
      <c r="S46" s="11" t="str">
        <f t="shared" si="17"/>
        <v/>
      </c>
      <c r="T46" s="88"/>
      <c r="U46" s="78" t="str">
        <f t="shared" si="18"/>
        <v/>
      </c>
      <c r="V46" s="19"/>
      <c r="W46" s="3"/>
      <c r="X46" s="3"/>
      <c r="Y46" s="11"/>
      <c r="Z46" s="88"/>
      <c r="AA46" s="78"/>
      <c r="AB46" s="19">
        <v>0</v>
      </c>
      <c r="AC46" s="3">
        <v>0</v>
      </c>
      <c r="AD46" s="3">
        <v>0</v>
      </c>
      <c r="AE46" s="3">
        <v>0</v>
      </c>
      <c r="AF46" s="3">
        <v>0</v>
      </c>
      <c r="AG46" s="3">
        <v>0</v>
      </c>
      <c r="AH46" s="11">
        <v>0</v>
      </c>
      <c r="AI46" s="88"/>
      <c r="AJ46" s="78"/>
      <c r="AK46" s="19">
        <v>0</v>
      </c>
      <c r="AL46" s="3">
        <v>0</v>
      </c>
      <c r="AM46" s="3">
        <v>0</v>
      </c>
      <c r="AN46" s="3">
        <v>0</v>
      </c>
      <c r="AO46" s="3">
        <v>0</v>
      </c>
      <c r="AP46" s="3">
        <v>0</v>
      </c>
      <c r="AQ46" s="11">
        <v>0</v>
      </c>
      <c r="AR46" s="88">
        <v>0</v>
      </c>
      <c r="AS46" s="78"/>
      <c r="AT46" s="19"/>
      <c r="AU46" s="3"/>
      <c r="AV46" s="3"/>
      <c r="AW46" s="11"/>
      <c r="AX46" s="88"/>
      <c r="AY46" s="78"/>
      <c r="AZ46" s="19"/>
      <c r="BA46" s="3"/>
      <c r="BB46" s="3"/>
      <c r="BC46" s="11"/>
      <c r="BD46" s="88"/>
      <c r="BE46" s="78"/>
      <c r="BF46" s="298" t="s">
        <v>490</v>
      </c>
      <c r="BG46" t="str">
        <f t="shared" si="20"/>
        <v>GeorginaGleesonCurralong Park FrankelIntermediate 7-990</v>
      </c>
    </row>
    <row r="47" spans="1:59">
      <c r="A47" s="3" t="s">
        <v>77</v>
      </c>
      <c r="B47" s="3" t="s">
        <v>78</v>
      </c>
      <c r="C47" s="202" t="s">
        <v>79</v>
      </c>
      <c r="D47" s="3" t="s">
        <v>80</v>
      </c>
      <c r="E47" s="205"/>
      <c r="F47" s="88">
        <f t="shared" si="19"/>
        <v>0</v>
      </c>
      <c r="G47" s="78"/>
      <c r="H47" s="19"/>
      <c r="I47" s="3"/>
      <c r="J47" s="3"/>
      <c r="K47" s="11"/>
      <c r="L47" s="88"/>
      <c r="M47" s="78"/>
      <c r="N47" s="19"/>
      <c r="O47" s="3"/>
      <c r="P47" s="3"/>
      <c r="Q47" s="3"/>
      <c r="R47" s="3"/>
      <c r="S47" s="11" t="str">
        <f t="shared" si="17"/>
        <v/>
      </c>
      <c r="T47" s="88"/>
      <c r="U47" s="78" t="str">
        <f t="shared" si="18"/>
        <v/>
      </c>
      <c r="V47" s="19"/>
      <c r="W47" s="3"/>
      <c r="X47" s="3"/>
      <c r="Y47" s="11"/>
      <c r="Z47" s="88"/>
      <c r="AA47" s="78"/>
      <c r="AB47" s="19">
        <v>0</v>
      </c>
      <c r="AC47" s="3">
        <v>0</v>
      </c>
      <c r="AD47" s="3">
        <v>0</v>
      </c>
      <c r="AE47" s="3">
        <v>0</v>
      </c>
      <c r="AF47" s="3">
        <v>0</v>
      </c>
      <c r="AG47" s="3">
        <v>0</v>
      </c>
      <c r="AH47" s="11">
        <v>0</v>
      </c>
      <c r="AI47" s="88"/>
      <c r="AJ47" s="78"/>
      <c r="AK47" s="19">
        <v>0</v>
      </c>
      <c r="AL47" s="3">
        <v>0</v>
      </c>
      <c r="AM47" s="3">
        <v>0</v>
      </c>
      <c r="AN47" s="3">
        <v>0</v>
      </c>
      <c r="AO47" s="3">
        <v>0</v>
      </c>
      <c r="AP47" s="3">
        <v>0</v>
      </c>
      <c r="AQ47" s="11">
        <v>0</v>
      </c>
      <c r="AR47" s="88">
        <v>0</v>
      </c>
      <c r="AS47" s="78"/>
      <c r="AT47" s="19"/>
      <c r="AU47" s="3"/>
      <c r="AV47" s="3"/>
      <c r="AW47" s="11"/>
      <c r="AX47" s="155"/>
      <c r="AY47" s="162"/>
      <c r="AZ47" s="19"/>
      <c r="BA47" s="3"/>
      <c r="BB47" s="3"/>
      <c r="BC47" s="11"/>
      <c r="BD47" s="88"/>
      <c r="BE47" s="78"/>
      <c r="BF47" s="298" t="s">
        <v>490</v>
      </c>
      <c r="BG47" t="str">
        <f t="shared" si="20"/>
        <v>HollyWottonWURLYANA BuckshotIntermediate 7-990</v>
      </c>
    </row>
    <row r="48" spans="1:59">
      <c r="A48" s="3" t="s">
        <v>81</v>
      </c>
      <c r="B48" s="3" t="s">
        <v>82</v>
      </c>
      <c r="C48" s="202" t="s">
        <v>83</v>
      </c>
      <c r="D48" s="202" t="s">
        <v>497</v>
      </c>
      <c r="E48" s="205">
        <v>8</v>
      </c>
      <c r="F48" s="88">
        <f t="shared" si="19"/>
        <v>100</v>
      </c>
      <c r="G48" s="78">
        <f>SUM(BE48,AJ48)</f>
        <v>38</v>
      </c>
      <c r="H48" s="19">
        <v>0</v>
      </c>
      <c r="I48" s="3">
        <v>6</v>
      </c>
      <c r="J48" s="3">
        <v>89.83</v>
      </c>
      <c r="K48" s="11">
        <v>6</v>
      </c>
      <c r="L48" s="88">
        <v>17</v>
      </c>
      <c r="M48" s="78">
        <v>17</v>
      </c>
      <c r="N48" s="19" t="s">
        <v>69</v>
      </c>
      <c r="O48" s="3"/>
      <c r="P48" s="3"/>
      <c r="Q48" s="3"/>
      <c r="R48" s="3"/>
      <c r="S48" s="11" t="str">
        <f t="shared" si="17"/>
        <v>ELIM</v>
      </c>
      <c r="T48" s="88"/>
      <c r="U48" s="78" t="str">
        <f t="shared" si="18"/>
        <v/>
      </c>
      <c r="V48" s="19"/>
      <c r="W48" s="3"/>
      <c r="X48" s="3"/>
      <c r="Y48" s="11"/>
      <c r="Z48" s="88"/>
      <c r="AA48" s="78"/>
      <c r="AB48" s="19">
        <v>0</v>
      </c>
      <c r="AC48" s="3">
        <v>0</v>
      </c>
      <c r="AD48" s="3">
        <v>70.2</v>
      </c>
      <c r="AE48" s="3">
        <v>4</v>
      </c>
      <c r="AF48" s="3">
        <v>52.52</v>
      </c>
      <c r="AG48" s="3">
        <v>0</v>
      </c>
      <c r="AH48" s="11">
        <v>4</v>
      </c>
      <c r="AI48" s="88">
        <v>24</v>
      </c>
      <c r="AJ48" s="78">
        <v>19</v>
      </c>
      <c r="AK48" s="19">
        <v>0</v>
      </c>
      <c r="AL48" s="3">
        <v>0</v>
      </c>
      <c r="AM48" s="3">
        <v>64.19</v>
      </c>
      <c r="AN48" s="3">
        <v>0</v>
      </c>
      <c r="AO48" s="3">
        <v>0</v>
      </c>
      <c r="AP48" s="3">
        <v>0</v>
      </c>
      <c r="AQ48" s="11">
        <v>0</v>
      </c>
      <c r="AR48" s="88">
        <v>23</v>
      </c>
      <c r="AS48" s="78">
        <v>18</v>
      </c>
      <c r="AT48" s="19">
        <v>0</v>
      </c>
      <c r="AU48" s="3">
        <v>0</v>
      </c>
      <c r="AV48" s="3">
        <v>60.88</v>
      </c>
      <c r="AW48" s="11">
        <v>0</v>
      </c>
      <c r="AX48" s="155">
        <v>17</v>
      </c>
      <c r="AY48" s="162">
        <f>AX48</f>
        <v>17</v>
      </c>
      <c r="AZ48" s="19">
        <v>0</v>
      </c>
      <c r="BA48" s="3">
        <v>0</v>
      </c>
      <c r="BB48" s="3">
        <v>64.92</v>
      </c>
      <c r="BC48" s="11">
        <v>0</v>
      </c>
      <c r="BD48" s="88">
        <v>19</v>
      </c>
      <c r="BE48" s="78">
        <v>19</v>
      </c>
      <c r="BF48" s="298" t="s">
        <v>490</v>
      </c>
      <c r="BG48" t="str">
        <f t="shared" si="20"/>
        <v>IvyDowdGUHRIntermediate 7-990</v>
      </c>
    </row>
    <row r="49" spans="1:66">
      <c r="A49" s="3" t="s">
        <v>84</v>
      </c>
      <c r="B49" s="3" t="s">
        <v>49</v>
      </c>
      <c r="C49" s="3" t="s">
        <v>50</v>
      </c>
      <c r="D49" s="3" t="s">
        <v>85</v>
      </c>
      <c r="E49" s="205"/>
      <c r="F49" s="88">
        <f t="shared" si="19"/>
        <v>122</v>
      </c>
      <c r="G49" s="78">
        <f>SUM(AS49,AY49)</f>
        <v>40</v>
      </c>
      <c r="H49" s="19">
        <v>0</v>
      </c>
      <c r="I49" s="3">
        <v>0</v>
      </c>
      <c r="J49" s="3">
        <v>74.73</v>
      </c>
      <c r="K49" s="11">
        <v>0</v>
      </c>
      <c r="L49" s="88">
        <v>19</v>
      </c>
      <c r="M49" s="78">
        <v>19</v>
      </c>
      <c r="N49" s="19">
        <v>4</v>
      </c>
      <c r="O49" s="3">
        <v>63.3</v>
      </c>
      <c r="P49" s="3">
        <v>41.4</v>
      </c>
      <c r="Q49" s="3">
        <v>4</v>
      </c>
      <c r="R49" s="3">
        <v>41.4</v>
      </c>
      <c r="S49" s="11">
        <v>8</v>
      </c>
      <c r="T49" s="88">
        <v>17</v>
      </c>
      <c r="U49" s="78">
        <f t="shared" si="18"/>
        <v>17</v>
      </c>
      <c r="V49" s="19">
        <v>8</v>
      </c>
      <c r="W49" s="3">
        <v>0</v>
      </c>
      <c r="X49" s="3">
        <v>54.37</v>
      </c>
      <c r="Y49" s="11">
        <v>8</v>
      </c>
      <c r="Z49" s="88">
        <v>18</v>
      </c>
      <c r="AA49" s="78">
        <v>18</v>
      </c>
      <c r="AB49" s="19">
        <v>0</v>
      </c>
      <c r="AC49" s="3">
        <v>8</v>
      </c>
      <c r="AD49" s="3">
        <v>59.87</v>
      </c>
      <c r="AE49" s="3">
        <v>0</v>
      </c>
      <c r="AF49" s="3">
        <v>0</v>
      </c>
      <c r="AG49" s="3">
        <v>8</v>
      </c>
      <c r="AH49" s="11">
        <v>8</v>
      </c>
      <c r="AI49" s="88">
        <v>23</v>
      </c>
      <c r="AJ49" s="78">
        <v>18</v>
      </c>
      <c r="AK49" s="19">
        <v>0</v>
      </c>
      <c r="AL49" s="3">
        <v>0</v>
      </c>
      <c r="AM49" s="3">
        <v>55.82</v>
      </c>
      <c r="AN49" s="3">
        <v>0</v>
      </c>
      <c r="AO49" s="3">
        <v>0</v>
      </c>
      <c r="AP49" s="3">
        <v>0</v>
      </c>
      <c r="AQ49" s="11">
        <v>0</v>
      </c>
      <c r="AR49" s="88">
        <v>25</v>
      </c>
      <c r="AS49" s="78">
        <v>20</v>
      </c>
      <c r="AT49" s="19">
        <v>0</v>
      </c>
      <c r="AU49" s="3">
        <v>0</v>
      </c>
      <c r="AV49" s="3">
        <v>48.06</v>
      </c>
      <c r="AW49" s="11">
        <v>0</v>
      </c>
      <c r="AX49" s="155">
        <v>20</v>
      </c>
      <c r="AY49" s="162">
        <f>AX49</f>
        <v>20</v>
      </c>
      <c r="AZ49" s="19"/>
      <c r="BA49" s="3"/>
      <c r="BB49" s="3"/>
      <c r="BC49" s="11"/>
      <c r="BD49" s="88"/>
      <c r="BE49" s="78"/>
      <c r="BF49" s="298" t="s">
        <v>490</v>
      </c>
      <c r="BG49" t="str">
        <f t="shared" si="20"/>
        <v>MaddisonWissellKeira Park CavalierIntermediate 7-990</v>
      </c>
    </row>
    <row r="50" spans="1:66">
      <c r="A50" s="3" t="s">
        <v>84</v>
      </c>
      <c r="B50" s="3" t="s">
        <v>49</v>
      </c>
      <c r="C50" s="221" t="s">
        <v>50</v>
      </c>
      <c r="D50" s="202" t="s">
        <v>86</v>
      </c>
      <c r="E50" s="205">
        <v>8</v>
      </c>
      <c r="F50" s="88">
        <f t="shared" si="19"/>
        <v>147</v>
      </c>
      <c r="G50" s="78">
        <f>SUM(AA50,AJ50)</f>
        <v>40</v>
      </c>
      <c r="H50" s="19">
        <v>0</v>
      </c>
      <c r="I50" s="3">
        <v>0</v>
      </c>
      <c r="J50" s="3">
        <v>70.38</v>
      </c>
      <c r="K50" s="11">
        <v>0</v>
      </c>
      <c r="L50" s="88">
        <v>20</v>
      </c>
      <c r="M50" s="78">
        <v>20</v>
      </c>
      <c r="N50" s="19">
        <v>4</v>
      </c>
      <c r="O50" s="3">
        <v>47.46</v>
      </c>
      <c r="P50" s="3">
        <v>44.32</v>
      </c>
      <c r="Q50" s="3">
        <v>0</v>
      </c>
      <c r="R50" s="3">
        <v>44.32</v>
      </c>
      <c r="S50" s="11">
        <f t="shared" si="17"/>
        <v>4</v>
      </c>
      <c r="T50" s="88">
        <v>19</v>
      </c>
      <c r="U50" s="78">
        <f t="shared" si="18"/>
        <v>19</v>
      </c>
      <c r="V50" s="19">
        <v>0</v>
      </c>
      <c r="W50" s="3">
        <v>0</v>
      </c>
      <c r="X50" s="3">
        <v>47.56</v>
      </c>
      <c r="Y50" s="11">
        <v>0</v>
      </c>
      <c r="Z50" s="88">
        <v>20</v>
      </c>
      <c r="AA50" s="78">
        <v>20</v>
      </c>
      <c r="AB50" s="19">
        <v>0</v>
      </c>
      <c r="AC50" s="3">
        <v>0</v>
      </c>
      <c r="AD50" s="3">
        <v>62.61</v>
      </c>
      <c r="AE50" s="3">
        <v>4</v>
      </c>
      <c r="AF50" s="3">
        <v>51.22</v>
      </c>
      <c r="AG50" s="3">
        <v>0</v>
      </c>
      <c r="AH50" s="11">
        <v>4</v>
      </c>
      <c r="AI50" s="88">
        <v>25</v>
      </c>
      <c r="AJ50" s="78">
        <v>20</v>
      </c>
      <c r="AK50" s="19">
        <v>0</v>
      </c>
      <c r="AL50" s="3">
        <v>0</v>
      </c>
      <c r="AM50" s="3">
        <v>63.19</v>
      </c>
      <c r="AN50" s="3">
        <v>0</v>
      </c>
      <c r="AO50" s="3">
        <v>0</v>
      </c>
      <c r="AP50" s="3">
        <v>0</v>
      </c>
      <c r="AQ50" s="11">
        <v>0</v>
      </c>
      <c r="AR50" s="88">
        <v>24</v>
      </c>
      <c r="AS50" s="78">
        <v>19</v>
      </c>
      <c r="AT50" s="129">
        <v>0</v>
      </c>
      <c r="AU50" s="130">
        <v>0</v>
      </c>
      <c r="AV50" s="3">
        <v>52.91</v>
      </c>
      <c r="AW50" s="11">
        <v>0</v>
      </c>
      <c r="AX50" s="88">
        <v>19</v>
      </c>
      <c r="AY50" s="162">
        <f>AX50</f>
        <v>19</v>
      </c>
      <c r="AZ50" s="19">
        <v>0</v>
      </c>
      <c r="BA50" s="3">
        <v>0</v>
      </c>
      <c r="BB50" s="3">
        <v>59.3</v>
      </c>
      <c r="BC50" s="11">
        <v>0</v>
      </c>
      <c r="BD50" s="88">
        <v>20</v>
      </c>
      <c r="BE50" s="78">
        <v>20</v>
      </c>
      <c r="BF50" s="298" t="s">
        <v>490</v>
      </c>
      <c r="BG50" t="str">
        <f t="shared" si="20"/>
        <v>MaddisonWissellDamara VWNZIntermediate 7-990</v>
      </c>
    </row>
    <row r="51" spans="1:66">
      <c r="A51" s="3" t="s">
        <v>87</v>
      </c>
      <c r="B51" s="3" t="s">
        <v>88</v>
      </c>
      <c r="C51" s="202" t="s">
        <v>89</v>
      </c>
      <c r="D51" s="202" t="s">
        <v>90</v>
      </c>
      <c r="E51" s="218">
        <v>7</v>
      </c>
      <c r="F51" s="88">
        <f t="shared" si="19"/>
        <v>0</v>
      </c>
      <c r="G51" s="78"/>
      <c r="H51" s="19"/>
      <c r="I51" s="3"/>
      <c r="J51" s="3"/>
      <c r="K51" s="11"/>
      <c r="L51" s="88"/>
      <c r="M51" s="78"/>
      <c r="N51" s="19"/>
      <c r="O51" s="3"/>
      <c r="P51" s="3"/>
      <c r="Q51" s="3"/>
      <c r="R51" s="3"/>
      <c r="S51" s="11" t="str">
        <f t="shared" si="17"/>
        <v/>
      </c>
      <c r="T51" s="88"/>
      <c r="U51" s="78" t="str">
        <f t="shared" si="18"/>
        <v/>
      </c>
      <c r="V51" s="19"/>
      <c r="W51" s="3"/>
      <c r="X51" s="3"/>
      <c r="Y51" s="11"/>
      <c r="Z51" s="88"/>
      <c r="AA51" s="78"/>
      <c r="AB51" s="19">
        <v>0</v>
      </c>
      <c r="AC51" s="3">
        <v>0</v>
      </c>
      <c r="AD51" s="3">
        <v>0</v>
      </c>
      <c r="AE51" s="3">
        <v>0</v>
      </c>
      <c r="AF51" s="3">
        <v>0</v>
      </c>
      <c r="AG51" s="3">
        <v>0</v>
      </c>
      <c r="AH51" s="11">
        <v>0</v>
      </c>
      <c r="AI51" s="88"/>
      <c r="AJ51" s="78"/>
      <c r="AK51" s="19">
        <v>0</v>
      </c>
      <c r="AL51" s="3">
        <v>0</v>
      </c>
      <c r="AM51" s="3">
        <v>0</v>
      </c>
      <c r="AN51" s="3">
        <v>0</v>
      </c>
      <c r="AO51" s="3">
        <v>0</v>
      </c>
      <c r="AP51" s="3">
        <v>0</v>
      </c>
      <c r="AQ51" s="11">
        <v>0</v>
      </c>
      <c r="AR51" s="88">
        <v>0</v>
      </c>
      <c r="AS51" s="78"/>
      <c r="AT51" s="19"/>
      <c r="AU51" s="3"/>
      <c r="AV51" s="3"/>
      <c r="AW51" s="11"/>
      <c r="AX51" s="88"/>
      <c r="AY51" s="78"/>
      <c r="AZ51" s="19"/>
      <c r="BA51" s="3"/>
      <c r="BB51" s="3"/>
      <c r="BC51" s="11"/>
      <c r="BD51" s="155"/>
      <c r="BE51" s="162"/>
      <c r="BF51" s="298" t="s">
        <v>490</v>
      </c>
      <c r="BG51" t="str">
        <f t="shared" si="20"/>
        <v>MadelynHannaRhesa ElishaIntermediate 7-990</v>
      </c>
    </row>
    <row r="52" spans="1:66">
      <c r="A52" s="3" t="s">
        <v>91</v>
      </c>
      <c r="B52" s="3" t="s">
        <v>92</v>
      </c>
      <c r="C52" s="202" t="s">
        <v>93</v>
      </c>
      <c r="D52" s="3" t="s">
        <v>94</v>
      </c>
      <c r="E52" s="205"/>
      <c r="F52" s="88">
        <f t="shared" si="19"/>
        <v>0</v>
      </c>
      <c r="G52" s="78"/>
      <c r="H52" s="19"/>
      <c r="I52" s="3"/>
      <c r="J52" s="3"/>
      <c r="K52" s="11"/>
      <c r="L52" s="88"/>
      <c r="M52" s="78"/>
      <c r="N52" s="19"/>
      <c r="O52" s="3"/>
      <c r="P52" s="3"/>
      <c r="Q52" s="3"/>
      <c r="R52" s="3"/>
      <c r="S52" s="11" t="str">
        <f t="shared" si="17"/>
        <v/>
      </c>
      <c r="T52" s="88"/>
      <c r="U52" s="78" t="str">
        <f t="shared" si="18"/>
        <v/>
      </c>
      <c r="V52" s="19"/>
      <c r="W52" s="3"/>
      <c r="X52" s="3"/>
      <c r="Y52" s="11"/>
      <c r="Z52" s="88"/>
      <c r="AA52" s="78"/>
      <c r="AB52" s="19" t="s">
        <v>494</v>
      </c>
      <c r="AC52" s="3">
        <v>0</v>
      </c>
      <c r="AD52" s="3">
        <v>0</v>
      </c>
      <c r="AE52" s="3">
        <v>0</v>
      </c>
      <c r="AF52" s="3">
        <v>0</v>
      </c>
      <c r="AG52" s="3">
        <v>0</v>
      </c>
      <c r="AH52" s="11">
        <v>0</v>
      </c>
      <c r="AI52" s="88" t="s">
        <v>493</v>
      </c>
      <c r="AJ52" s="78"/>
      <c r="AK52" s="19" t="s">
        <v>494</v>
      </c>
      <c r="AL52" s="3">
        <v>0</v>
      </c>
      <c r="AM52" s="3">
        <v>0</v>
      </c>
      <c r="AN52" s="3">
        <v>0</v>
      </c>
      <c r="AO52" s="3">
        <v>0</v>
      </c>
      <c r="AP52" s="3">
        <v>0</v>
      </c>
      <c r="AQ52" s="11">
        <v>0</v>
      </c>
      <c r="AR52" s="88">
        <v>0</v>
      </c>
      <c r="AS52" s="78"/>
      <c r="AT52" s="19"/>
      <c r="AU52" s="3"/>
      <c r="AV52" s="3"/>
      <c r="AW52" s="11"/>
      <c r="AX52" s="155"/>
      <c r="AY52" s="162"/>
      <c r="AZ52" s="19"/>
      <c r="BA52" s="3"/>
      <c r="BB52" s="3"/>
      <c r="BC52" s="11"/>
      <c r="BD52" s="88"/>
      <c r="BE52" s="78"/>
      <c r="BF52" s="298" t="s">
        <v>490</v>
      </c>
      <c r="BG52" t="str">
        <f t="shared" si="20"/>
        <v>SelenaMartiensenLazy D White ChocolateIntermediate 7-990</v>
      </c>
    </row>
    <row r="53" spans="1:66">
      <c r="A53" s="3" t="s">
        <v>95</v>
      </c>
      <c r="B53" s="3" t="s">
        <v>96</v>
      </c>
      <c r="C53" s="202" t="s">
        <v>97</v>
      </c>
      <c r="D53" s="202" t="s">
        <v>98</v>
      </c>
      <c r="E53" s="205"/>
      <c r="F53" s="88">
        <f t="shared" si="19"/>
        <v>0</v>
      </c>
      <c r="G53" s="78"/>
      <c r="H53" s="19"/>
      <c r="I53" s="3"/>
      <c r="J53" s="3"/>
      <c r="K53" s="11"/>
      <c r="L53" s="88"/>
      <c r="M53" s="78"/>
      <c r="N53" s="19"/>
      <c r="O53" s="3"/>
      <c r="P53" s="3"/>
      <c r="Q53" s="3"/>
      <c r="R53" s="3"/>
      <c r="S53" s="11" t="str">
        <f t="shared" si="17"/>
        <v/>
      </c>
      <c r="T53" s="88"/>
      <c r="U53" s="78" t="str">
        <f t="shared" si="18"/>
        <v/>
      </c>
      <c r="V53" s="19"/>
      <c r="W53" s="3"/>
      <c r="X53" s="3"/>
      <c r="Y53" s="11"/>
      <c r="Z53" s="88"/>
      <c r="AA53" s="78"/>
      <c r="AB53" s="19">
        <v>0</v>
      </c>
      <c r="AC53" s="3">
        <v>0</v>
      </c>
      <c r="AD53" s="3">
        <v>0</v>
      </c>
      <c r="AE53" s="3">
        <v>0</v>
      </c>
      <c r="AF53" s="3">
        <v>0</v>
      </c>
      <c r="AG53" s="3">
        <v>0</v>
      </c>
      <c r="AH53" s="11">
        <v>0</v>
      </c>
      <c r="AI53" s="88"/>
      <c r="AJ53" s="78"/>
      <c r="AK53" s="19">
        <v>0</v>
      </c>
      <c r="AL53" s="3">
        <v>0</v>
      </c>
      <c r="AM53" s="3">
        <v>0</v>
      </c>
      <c r="AN53" s="3">
        <v>0</v>
      </c>
      <c r="AO53" s="3">
        <v>0</v>
      </c>
      <c r="AP53" s="3">
        <v>0</v>
      </c>
      <c r="AQ53" s="11">
        <v>0</v>
      </c>
      <c r="AR53" s="88">
        <v>0</v>
      </c>
      <c r="AS53" s="78"/>
      <c r="AT53" s="19"/>
      <c r="AU53" s="3"/>
      <c r="AV53" s="3"/>
      <c r="AW53" s="11"/>
      <c r="AX53" s="155"/>
      <c r="AY53" s="162"/>
      <c r="AZ53" s="19"/>
      <c r="BA53" s="3"/>
      <c r="BB53" s="3"/>
      <c r="BC53" s="11"/>
      <c r="BD53" s="88"/>
      <c r="BE53" s="78"/>
      <c r="BF53" s="298" t="s">
        <v>490</v>
      </c>
      <c r="BG53" t="str">
        <f t="shared" si="20"/>
        <v>StarlaMurphyShanlin Burn ContenderIntermediate 7-990</v>
      </c>
    </row>
    <row r="54" spans="1:66">
      <c r="A54" s="3" t="s">
        <v>99</v>
      </c>
      <c r="B54" s="3" t="s">
        <v>41</v>
      </c>
      <c r="C54" s="202" t="s">
        <v>42</v>
      </c>
      <c r="D54" s="202" t="s">
        <v>100</v>
      </c>
      <c r="E54" s="218">
        <v>7</v>
      </c>
      <c r="F54" s="88">
        <f t="shared" si="19"/>
        <v>117</v>
      </c>
      <c r="G54" s="78">
        <f>SUM(AA54,M54)</f>
        <v>37</v>
      </c>
      <c r="H54" s="19">
        <v>0</v>
      </c>
      <c r="I54" s="3">
        <v>0</v>
      </c>
      <c r="J54" s="3">
        <v>81.55</v>
      </c>
      <c r="K54" s="11">
        <v>0</v>
      </c>
      <c r="L54" s="88">
        <v>18</v>
      </c>
      <c r="M54" s="78">
        <v>18</v>
      </c>
      <c r="N54" s="19"/>
      <c r="O54" s="3"/>
      <c r="P54" s="3"/>
      <c r="Q54" s="3"/>
      <c r="R54" s="3"/>
      <c r="S54" s="11" t="str">
        <f t="shared" si="17"/>
        <v/>
      </c>
      <c r="T54" s="88"/>
      <c r="U54" s="78" t="str">
        <f t="shared" si="18"/>
        <v/>
      </c>
      <c r="V54" s="19">
        <v>0</v>
      </c>
      <c r="W54" s="3">
        <v>0</v>
      </c>
      <c r="X54" s="3">
        <v>57.55</v>
      </c>
      <c r="Y54" s="11">
        <v>0</v>
      </c>
      <c r="Z54" s="88">
        <v>19</v>
      </c>
      <c r="AA54" s="78">
        <v>19</v>
      </c>
      <c r="AB54" s="19">
        <v>4</v>
      </c>
      <c r="AC54" s="3">
        <v>6</v>
      </c>
      <c r="AD54" s="3">
        <v>78.38</v>
      </c>
      <c r="AE54" s="3">
        <v>0</v>
      </c>
      <c r="AF54" s="3">
        <v>0</v>
      </c>
      <c r="AG54" s="3">
        <v>10</v>
      </c>
      <c r="AH54" s="11">
        <v>10</v>
      </c>
      <c r="AI54" s="88">
        <v>22</v>
      </c>
      <c r="AJ54" s="78">
        <v>17</v>
      </c>
      <c r="AK54" s="19">
        <v>0</v>
      </c>
      <c r="AL54" s="3">
        <v>0</v>
      </c>
      <c r="AM54" s="3">
        <v>64.72</v>
      </c>
      <c r="AN54" s="3">
        <v>0</v>
      </c>
      <c r="AO54" s="3">
        <v>0</v>
      </c>
      <c r="AP54" s="3">
        <v>0</v>
      </c>
      <c r="AQ54" s="11">
        <v>0</v>
      </c>
      <c r="AR54" s="88">
        <v>22</v>
      </c>
      <c r="AS54" s="78">
        <v>17</v>
      </c>
      <c r="AT54" s="19">
        <v>0</v>
      </c>
      <c r="AU54" s="3">
        <v>0</v>
      </c>
      <c r="AV54" s="3">
        <v>57.44</v>
      </c>
      <c r="AW54" s="11">
        <v>0</v>
      </c>
      <c r="AX54" s="155">
        <v>18</v>
      </c>
      <c r="AY54" s="162">
        <f>AX54</f>
        <v>18</v>
      </c>
      <c r="AZ54" s="19">
        <v>0</v>
      </c>
      <c r="BA54" s="3">
        <v>0</v>
      </c>
      <c r="BB54" s="3">
        <v>66</v>
      </c>
      <c r="BC54" s="11">
        <v>0</v>
      </c>
      <c r="BD54" s="88">
        <v>18</v>
      </c>
      <c r="BE54" s="78">
        <v>18</v>
      </c>
      <c r="BF54" s="298" t="s">
        <v>490</v>
      </c>
      <c r="BG54" t="str">
        <f t="shared" si="20"/>
        <v>StellaCarmichaelWynara First RomanceIntermediate 7-990</v>
      </c>
    </row>
    <row r="55" spans="1:66" ht="16.5" thickBot="1">
      <c r="A55" s="3" t="s">
        <v>101</v>
      </c>
      <c r="B55" s="3" t="s">
        <v>33</v>
      </c>
      <c r="C55" s="202" t="s">
        <v>79</v>
      </c>
      <c r="D55" s="202" t="s">
        <v>102</v>
      </c>
      <c r="E55" s="205">
        <v>7</v>
      </c>
      <c r="F55" s="90">
        <f t="shared" ref="F55" si="21">SUM(T55,Z55,AI55,AR55,AX55,BD55,L55)</f>
        <v>0</v>
      </c>
      <c r="G55" s="86"/>
      <c r="H55" s="19"/>
      <c r="I55" s="3"/>
      <c r="J55" s="3"/>
      <c r="K55" s="11"/>
      <c r="L55" s="90"/>
      <c r="M55" s="86"/>
      <c r="N55" s="19"/>
      <c r="O55" s="3"/>
      <c r="P55" s="3"/>
      <c r="Q55" s="3"/>
      <c r="R55" s="3"/>
      <c r="S55" s="11" t="str">
        <f t="shared" si="17"/>
        <v/>
      </c>
      <c r="T55" s="90"/>
      <c r="U55" s="86" t="str">
        <f t="shared" si="18"/>
        <v/>
      </c>
      <c r="V55" s="19" t="s">
        <v>70</v>
      </c>
      <c r="W55" s="3"/>
      <c r="X55" s="3"/>
      <c r="Y55" s="11"/>
      <c r="Z55" s="90" t="s">
        <v>70</v>
      </c>
      <c r="AA55" s="86"/>
      <c r="AB55" s="19">
        <v>0</v>
      </c>
      <c r="AC55" s="3">
        <v>0</v>
      </c>
      <c r="AD55" s="3">
        <v>0</v>
      </c>
      <c r="AE55" s="3">
        <v>0</v>
      </c>
      <c r="AF55" s="3">
        <v>0</v>
      </c>
      <c r="AG55" s="3">
        <v>0</v>
      </c>
      <c r="AH55" s="11">
        <v>0</v>
      </c>
      <c r="AI55" s="90"/>
      <c r="AJ55" s="86"/>
      <c r="AK55" s="19">
        <v>0</v>
      </c>
      <c r="AL55" s="3">
        <v>0</v>
      </c>
      <c r="AM55" s="3">
        <v>0</v>
      </c>
      <c r="AN55" s="3">
        <v>0</v>
      </c>
      <c r="AO55" s="3">
        <v>0</v>
      </c>
      <c r="AP55" s="3">
        <v>0</v>
      </c>
      <c r="AQ55" s="11">
        <v>0</v>
      </c>
      <c r="AR55" s="90">
        <v>0</v>
      </c>
      <c r="AS55" s="86"/>
      <c r="AT55" s="19"/>
      <c r="AU55" s="3"/>
      <c r="AV55" s="3"/>
      <c r="AW55" s="11"/>
      <c r="AX55" s="157"/>
      <c r="AY55" s="81"/>
      <c r="AZ55" s="19"/>
      <c r="BA55" s="3"/>
      <c r="BB55" s="3"/>
      <c r="BC55" s="11"/>
      <c r="BD55" s="90"/>
      <c r="BE55" s="86"/>
      <c r="BF55" s="298" t="s">
        <v>490</v>
      </c>
      <c r="BG55" t="str">
        <f t="shared" si="20"/>
        <v>StirlingRobertsDARTANIANIntermediate 7-990</v>
      </c>
    </row>
    <row r="56" spans="1:66" ht="16.5" thickBot="1">
      <c r="A56" s="187"/>
      <c r="B56" s="187"/>
      <c r="C56" s="187"/>
      <c r="D56" s="187"/>
      <c r="E56" s="187"/>
      <c r="S56" s="29" t="str">
        <f t="shared" si="17"/>
        <v/>
      </c>
      <c r="AT56" s="180"/>
      <c r="AU56" s="180"/>
    </row>
    <row r="57" spans="1:66" ht="24" thickBot="1">
      <c r="A57" s="243"/>
      <c r="B57" s="243"/>
      <c r="C57" s="244"/>
      <c r="D57" s="243"/>
      <c r="E57" s="7"/>
      <c r="F57" s="7"/>
      <c r="G57" s="7"/>
      <c r="H57" s="411" t="s">
        <v>1</v>
      </c>
      <c r="I57" s="411"/>
      <c r="J57" s="411"/>
      <c r="K57" s="411"/>
      <c r="L57" s="411"/>
      <c r="M57" s="412"/>
      <c r="N57" s="399" t="s">
        <v>2</v>
      </c>
      <c r="O57" s="400"/>
      <c r="P57" s="400"/>
      <c r="Q57" s="400"/>
      <c r="R57" s="400"/>
      <c r="S57" s="400"/>
      <c r="T57" s="417"/>
      <c r="U57" s="401"/>
      <c r="V57" s="402" t="s">
        <v>3</v>
      </c>
      <c r="W57" s="403"/>
      <c r="X57" s="403"/>
      <c r="Y57" s="403"/>
      <c r="Z57" s="403"/>
      <c r="AA57" s="404"/>
      <c r="AB57" s="390" t="s">
        <v>4</v>
      </c>
      <c r="AC57" s="391"/>
      <c r="AD57" s="391"/>
      <c r="AE57" s="391"/>
      <c r="AF57" s="391"/>
      <c r="AG57" s="391"/>
      <c r="AH57" s="391"/>
      <c r="AI57" s="391"/>
      <c r="AJ57" s="392"/>
      <c r="AK57" s="393" t="s">
        <v>5</v>
      </c>
      <c r="AL57" s="394"/>
      <c r="AM57" s="394"/>
      <c r="AN57" s="394"/>
      <c r="AO57" s="394"/>
      <c r="AP57" s="394"/>
      <c r="AQ57" s="394"/>
      <c r="AR57" s="394"/>
      <c r="AS57" s="395"/>
      <c r="AT57" s="396" t="s">
        <v>6</v>
      </c>
      <c r="AU57" s="397"/>
      <c r="AV57" s="397"/>
      <c r="AW57" s="397"/>
      <c r="AX57" s="397"/>
      <c r="AY57" s="398"/>
      <c r="AZ57" s="405" t="s">
        <v>7</v>
      </c>
      <c r="BA57" s="406"/>
      <c r="BB57" s="406"/>
      <c r="BC57" s="406"/>
      <c r="BD57" s="406"/>
      <c r="BE57" s="407"/>
    </row>
    <row r="58" spans="1:66" s="43" customFormat="1" ht="63">
      <c r="A58" s="408" t="s">
        <v>103</v>
      </c>
      <c r="B58" s="409"/>
      <c r="C58" s="409"/>
      <c r="D58" s="409"/>
      <c r="E58" s="415"/>
      <c r="F58" s="117" t="s">
        <v>9</v>
      </c>
      <c r="G58" s="51" t="s">
        <v>10</v>
      </c>
      <c r="H58" s="59" t="s">
        <v>11</v>
      </c>
      <c r="I58" s="55" t="s">
        <v>12</v>
      </c>
      <c r="J58" s="61" t="s">
        <v>13</v>
      </c>
      <c r="K58" s="62" t="s">
        <v>14</v>
      </c>
      <c r="L58" s="97" t="s">
        <v>15</v>
      </c>
      <c r="M58" s="51" t="s">
        <v>16</v>
      </c>
      <c r="N58" s="59" t="s">
        <v>11</v>
      </c>
      <c r="O58" s="55" t="s">
        <v>17</v>
      </c>
      <c r="P58" s="61" t="s">
        <v>18</v>
      </c>
      <c r="Q58" s="55" t="s">
        <v>19</v>
      </c>
      <c r="R58" s="39" t="s">
        <v>466</v>
      </c>
      <c r="S58" s="37" t="s">
        <v>14</v>
      </c>
      <c r="T58" s="97" t="s">
        <v>15</v>
      </c>
      <c r="U58" s="51" t="s">
        <v>16</v>
      </c>
      <c r="V58" s="59" t="s">
        <v>11</v>
      </c>
      <c r="W58" s="55" t="s">
        <v>12</v>
      </c>
      <c r="X58" s="61" t="s">
        <v>13</v>
      </c>
      <c r="Y58" s="62" t="s">
        <v>14</v>
      </c>
      <c r="Z58" s="97" t="s">
        <v>15</v>
      </c>
      <c r="AA58" s="51" t="s">
        <v>16</v>
      </c>
      <c r="AB58" s="274" t="s">
        <v>483</v>
      </c>
      <c r="AC58" s="188" t="s">
        <v>484</v>
      </c>
      <c r="AD58" s="275" t="s">
        <v>485</v>
      </c>
      <c r="AE58" s="276" t="s">
        <v>486</v>
      </c>
      <c r="AF58" s="277" t="s">
        <v>487</v>
      </c>
      <c r="AG58" s="246" t="s">
        <v>488</v>
      </c>
      <c r="AH58" s="246" t="s">
        <v>489</v>
      </c>
      <c r="AI58" s="97" t="s">
        <v>15</v>
      </c>
      <c r="AJ58" s="51" t="s">
        <v>16</v>
      </c>
      <c r="AK58" s="274" t="s">
        <v>483</v>
      </c>
      <c r="AL58" s="188" t="s">
        <v>484</v>
      </c>
      <c r="AM58" s="275" t="s">
        <v>485</v>
      </c>
      <c r="AN58" s="276" t="s">
        <v>486</v>
      </c>
      <c r="AO58" s="277" t="s">
        <v>487</v>
      </c>
      <c r="AP58" s="246" t="s">
        <v>488</v>
      </c>
      <c r="AQ58" s="246" t="s">
        <v>489</v>
      </c>
      <c r="AR58" s="97" t="s">
        <v>15</v>
      </c>
      <c r="AS58" s="51" t="s">
        <v>16</v>
      </c>
      <c r="AT58" s="59" t="s">
        <v>11</v>
      </c>
      <c r="AU58" s="297" t="s">
        <v>513</v>
      </c>
      <c r="AV58" s="55" t="s">
        <v>21</v>
      </c>
      <c r="AW58" s="62" t="s">
        <v>14</v>
      </c>
      <c r="AX58" s="97" t="s">
        <v>15</v>
      </c>
      <c r="AY58" s="51" t="s">
        <v>16</v>
      </c>
      <c r="AZ58" s="59" t="s">
        <v>11</v>
      </c>
      <c r="BA58" s="297" t="s">
        <v>513</v>
      </c>
      <c r="BB58" s="56" t="s">
        <v>21</v>
      </c>
      <c r="BC58" s="62" t="s">
        <v>14</v>
      </c>
      <c r="BD58" s="97" t="s">
        <v>15</v>
      </c>
      <c r="BE58" s="51" t="s">
        <v>16</v>
      </c>
      <c r="BF58" s="43">
        <v>100</v>
      </c>
      <c r="BM58"/>
      <c r="BN58"/>
    </row>
    <row r="59" spans="1:66">
      <c r="A59" s="1" t="s">
        <v>22</v>
      </c>
      <c r="B59" s="1" t="s">
        <v>23</v>
      </c>
      <c r="C59" s="1" t="s">
        <v>24</v>
      </c>
      <c r="D59" s="1" t="s">
        <v>25</v>
      </c>
      <c r="E59" s="4" t="s">
        <v>26</v>
      </c>
      <c r="F59" s="88"/>
      <c r="G59" s="78"/>
      <c r="H59" s="19"/>
      <c r="I59" s="3"/>
      <c r="J59" s="3"/>
      <c r="K59" s="11"/>
      <c r="L59" s="88"/>
      <c r="M59" s="78"/>
      <c r="N59" s="19"/>
      <c r="O59" s="3"/>
      <c r="P59" s="3"/>
      <c r="Q59" s="3"/>
      <c r="R59" s="3"/>
      <c r="S59" s="11" t="str">
        <f t="shared" ref="S59:S64" si="22">IF(N59=0,"",N59)</f>
        <v/>
      </c>
      <c r="T59" s="88"/>
      <c r="U59" s="78" t="str">
        <f t="shared" ref="U59:U64" si="23">IF(T59="","",T59)</f>
        <v/>
      </c>
      <c r="V59" s="19"/>
      <c r="W59" s="3"/>
      <c r="X59" s="3"/>
      <c r="Y59" s="11"/>
      <c r="Z59" s="88"/>
      <c r="AA59" s="78"/>
      <c r="AB59" s="19"/>
      <c r="AC59" s="3"/>
      <c r="AD59" s="3"/>
      <c r="AE59" s="3"/>
      <c r="AF59" s="3"/>
      <c r="AG59" s="3"/>
      <c r="AH59" s="11"/>
      <c r="AI59" s="88"/>
      <c r="AJ59" s="78"/>
      <c r="AK59" s="19"/>
      <c r="AL59" s="3"/>
      <c r="AM59" s="3"/>
      <c r="AN59" s="3"/>
      <c r="AO59" s="3"/>
      <c r="AP59" s="3"/>
      <c r="AQ59" s="11"/>
      <c r="AR59" s="88"/>
      <c r="AS59" s="78"/>
      <c r="AT59" s="19"/>
      <c r="AU59" s="3"/>
      <c r="AV59" s="3"/>
      <c r="AW59" s="11"/>
      <c r="AX59" s="88"/>
      <c r="AY59" s="78"/>
      <c r="AZ59" s="19"/>
      <c r="BA59" s="3"/>
      <c r="BB59" s="3"/>
      <c r="BC59" s="11"/>
      <c r="BD59" s="88"/>
      <c r="BE59" s="78"/>
      <c r="BF59" s="298" t="s">
        <v>490</v>
      </c>
      <c r="BG59" t="str">
        <f>A59&amp;B59&amp;D59&amp;BF59&amp;$BF$58</f>
        <v>Rider First NameRider Last NameName of Pony/HorseIntermediate 7-9100</v>
      </c>
    </row>
    <row r="60" spans="1:66">
      <c r="A60" s="3" t="s">
        <v>65</v>
      </c>
      <c r="B60" s="3" t="s">
        <v>66</v>
      </c>
      <c r="C60" s="3" t="s">
        <v>67</v>
      </c>
      <c r="D60" s="3" t="s">
        <v>68</v>
      </c>
      <c r="E60" s="205"/>
      <c r="F60" s="88">
        <f>SUM(T60,Z60,AI60,AR60,AX60,BD60,L60)</f>
        <v>22</v>
      </c>
      <c r="G60" s="78"/>
      <c r="H60" s="19" t="s">
        <v>104</v>
      </c>
      <c r="I60" s="3"/>
      <c r="J60" s="3"/>
      <c r="K60" s="11" t="s">
        <v>69</v>
      </c>
      <c r="L60" s="88"/>
      <c r="M60" s="78" t="s">
        <v>31</v>
      </c>
      <c r="N60" s="19" t="s">
        <v>105</v>
      </c>
      <c r="O60" s="3"/>
      <c r="P60" s="3"/>
      <c r="Q60" s="3"/>
      <c r="R60" s="3"/>
      <c r="S60" s="11" t="str">
        <f t="shared" si="22"/>
        <v>NP</v>
      </c>
      <c r="T60" s="88"/>
      <c r="U60" s="78" t="str">
        <f t="shared" si="23"/>
        <v/>
      </c>
      <c r="V60" s="19"/>
      <c r="W60" s="3"/>
      <c r="X60" s="3"/>
      <c r="Y60" s="11"/>
      <c r="Z60" s="88"/>
      <c r="AA60" s="78"/>
      <c r="AB60" s="19">
        <v>4</v>
      </c>
      <c r="AC60" s="3">
        <v>0</v>
      </c>
      <c r="AD60" s="3">
        <v>72.790000000000006</v>
      </c>
      <c r="AE60" s="3">
        <v>0</v>
      </c>
      <c r="AF60" s="3">
        <v>0</v>
      </c>
      <c r="AG60" s="3">
        <v>4</v>
      </c>
      <c r="AH60" s="11">
        <v>4</v>
      </c>
      <c r="AI60" s="88">
        <v>22</v>
      </c>
      <c r="AJ60" s="78">
        <v>17</v>
      </c>
      <c r="AK60" s="19">
        <v>12</v>
      </c>
      <c r="AL60" s="3">
        <v>11</v>
      </c>
      <c r="AM60" s="3">
        <v>89.83</v>
      </c>
      <c r="AN60" s="3">
        <v>0</v>
      </c>
      <c r="AO60" s="3">
        <v>0</v>
      </c>
      <c r="AP60" s="3">
        <v>23</v>
      </c>
      <c r="AQ60" s="11">
        <v>23</v>
      </c>
      <c r="AR60" s="88">
        <v>0</v>
      </c>
      <c r="AS60" s="78"/>
      <c r="AT60" s="129"/>
      <c r="AU60" s="130"/>
      <c r="AV60" s="3"/>
      <c r="AW60" s="11"/>
      <c r="AX60" s="88"/>
      <c r="AY60" s="78"/>
      <c r="AZ60" s="19"/>
      <c r="BA60" s="3"/>
      <c r="BB60" s="3"/>
      <c r="BC60" s="11"/>
      <c r="BD60" s="88"/>
      <c r="BE60" s="78"/>
      <c r="BF60" s="298" t="s">
        <v>490</v>
      </c>
      <c r="BG60" t="str">
        <f t="shared" ref="BG60:BG64" si="24">A60&amp;B60&amp;D60&amp;BF60&amp;$BF$58</f>
        <v>AnnabelleKnowlesSandon Grove Bobby RoyalIntermediate 7-9100</v>
      </c>
    </row>
    <row r="61" spans="1:66">
      <c r="A61" s="3" t="s">
        <v>81</v>
      </c>
      <c r="B61" s="3" t="s">
        <v>82</v>
      </c>
      <c r="C61" s="202" t="s">
        <v>83</v>
      </c>
      <c r="D61" s="202" t="s">
        <v>497</v>
      </c>
      <c r="E61" s="205">
        <v>9</v>
      </c>
      <c r="F61" s="88">
        <f t="shared" ref="F61:F64" si="25">SUM(T61,Z61,AI61,AR61,AX61,BD61,L61)</f>
        <v>106</v>
      </c>
      <c r="G61" s="78">
        <f>SUM(BE61,M61)</f>
        <v>40</v>
      </c>
      <c r="H61" s="19">
        <v>4</v>
      </c>
      <c r="I61" s="3">
        <v>1</v>
      </c>
      <c r="J61" s="3">
        <v>75.08</v>
      </c>
      <c r="K61" s="11">
        <v>5</v>
      </c>
      <c r="L61" s="88">
        <v>20</v>
      </c>
      <c r="M61" s="78">
        <v>20</v>
      </c>
      <c r="N61" s="19">
        <v>7</v>
      </c>
      <c r="O61" s="3">
        <v>68.19</v>
      </c>
      <c r="P61" s="3">
        <v>91.67</v>
      </c>
      <c r="Q61" s="3">
        <v>44</v>
      </c>
      <c r="R61" s="3">
        <v>91.67</v>
      </c>
      <c r="S61" s="11">
        <v>51</v>
      </c>
      <c r="T61" s="88"/>
      <c r="U61" s="78" t="str">
        <f t="shared" si="23"/>
        <v/>
      </c>
      <c r="V61" s="19"/>
      <c r="W61" s="3"/>
      <c r="X61" s="3"/>
      <c r="Y61" s="11"/>
      <c r="Z61" s="88"/>
      <c r="AA61" s="78"/>
      <c r="AB61" s="19">
        <v>4</v>
      </c>
      <c r="AC61" s="3">
        <v>0</v>
      </c>
      <c r="AD61" s="3">
        <v>60.63</v>
      </c>
      <c r="AE61" s="3">
        <v>0</v>
      </c>
      <c r="AF61" s="3">
        <v>0</v>
      </c>
      <c r="AG61" s="3">
        <v>4</v>
      </c>
      <c r="AH61" s="11">
        <v>4</v>
      </c>
      <c r="AI61" s="88">
        <v>23</v>
      </c>
      <c r="AJ61" s="78">
        <v>18</v>
      </c>
      <c r="AK61" s="19">
        <v>0</v>
      </c>
      <c r="AL61" s="3">
        <v>0</v>
      </c>
      <c r="AM61" s="3">
        <v>70.09</v>
      </c>
      <c r="AN61" s="3">
        <v>0</v>
      </c>
      <c r="AO61" s="3">
        <v>37.450000000000003</v>
      </c>
      <c r="AP61" s="3">
        <v>0</v>
      </c>
      <c r="AQ61" s="11">
        <v>0</v>
      </c>
      <c r="AR61" s="88">
        <v>24</v>
      </c>
      <c r="AS61" s="78">
        <v>19</v>
      </c>
      <c r="AT61" s="19">
        <v>0</v>
      </c>
      <c r="AU61" s="3">
        <v>0</v>
      </c>
      <c r="AV61" s="3">
        <v>52.93</v>
      </c>
      <c r="AW61" s="11">
        <v>0</v>
      </c>
      <c r="AX61" s="88">
        <v>19</v>
      </c>
      <c r="AY61" s="78">
        <v>19</v>
      </c>
      <c r="AZ61" s="19">
        <v>0</v>
      </c>
      <c r="BA61" s="3">
        <v>0</v>
      </c>
      <c r="BB61" s="3">
        <v>58.53</v>
      </c>
      <c r="BC61" s="11">
        <v>0</v>
      </c>
      <c r="BD61" s="88">
        <v>20</v>
      </c>
      <c r="BE61" s="78">
        <v>20</v>
      </c>
      <c r="BF61" s="298" t="s">
        <v>490</v>
      </c>
      <c r="BG61" t="str">
        <f t="shared" si="24"/>
        <v>IvyDowdGUHRIntermediate 7-9100</v>
      </c>
    </row>
    <row r="62" spans="1:66">
      <c r="A62" s="3" t="s">
        <v>84</v>
      </c>
      <c r="B62" s="3" t="s">
        <v>49</v>
      </c>
      <c r="C62" s="3" t="s">
        <v>50</v>
      </c>
      <c r="D62" s="3" t="s">
        <v>85</v>
      </c>
      <c r="E62" s="205">
        <v>9</v>
      </c>
      <c r="F62" s="88">
        <f t="shared" si="25"/>
        <v>48</v>
      </c>
      <c r="G62" s="78">
        <f>SUM(AS62,AJ62)</f>
        <v>38</v>
      </c>
      <c r="H62" s="19" t="s">
        <v>104</v>
      </c>
      <c r="I62" s="3"/>
      <c r="J62" s="3"/>
      <c r="K62" s="11" t="s">
        <v>69</v>
      </c>
      <c r="L62" s="88"/>
      <c r="M62" s="78" t="s">
        <v>31</v>
      </c>
      <c r="N62" s="19"/>
      <c r="O62" s="3"/>
      <c r="P62" s="3"/>
      <c r="Q62" s="3"/>
      <c r="R62" s="3"/>
      <c r="S62" s="11" t="str">
        <f t="shared" si="22"/>
        <v/>
      </c>
      <c r="T62" s="88"/>
      <c r="U62" s="78" t="str">
        <f t="shared" si="23"/>
        <v/>
      </c>
      <c r="V62" s="19"/>
      <c r="W62" s="3"/>
      <c r="X62" s="3"/>
      <c r="Y62" s="11"/>
      <c r="Z62" s="88"/>
      <c r="AA62" s="78"/>
      <c r="AB62" s="19">
        <v>0</v>
      </c>
      <c r="AC62" s="3">
        <v>0</v>
      </c>
      <c r="AD62" s="3">
        <v>54.66</v>
      </c>
      <c r="AE62" s="3">
        <v>0</v>
      </c>
      <c r="AF62" s="3">
        <v>0</v>
      </c>
      <c r="AG62" s="3">
        <v>0</v>
      </c>
      <c r="AH62" s="11">
        <v>0</v>
      </c>
      <c r="AI62" s="88">
        <v>25</v>
      </c>
      <c r="AJ62" s="78">
        <v>20</v>
      </c>
      <c r="AK62" s="19">
        <v>8</v>
      </c>
      <c r="AL62" s="3">
        <v>0</v>
      </c>
      <c r="AM62" s="3">
        <v>67.03</v>
      </c>
      <c r="AN62" s="3">
        <v>0</v>
      </c>
      <c r="AO62" s="3">
        <v>0</v>
      </c>
      <c r="AP62" s="3">
        <v>8</v>
      </c>
      <c r="AQ62" s="11">
        <v>8</v>
      </c>
      <c r="AR62" s="88">
        <v>23</v>
      </c>
      <c r="AS62" s="78">
        <v>18</v>
      </c>
      <c r="AT62" s="129"/>
      <c r="AU62" s="130"/>
      <c r="AV62" s="3"/>
      <c r="AW62" s="11"/>
      <c r="AX62" s="88"/>
      <c r="AY62" s="78"/>
      <c r="AZ62" s="19"/>
      <c r="BA62" s="3"/>
      <c r="BB62" s="3"/>
      <c r="BC62" s="11"/>
      <c r="BD62" s="88"/>
      <c r="BE62" s="78"/>
      <c r="BF62" s="298" t="s">
        <v>490</v>
      </c>
      <c r="BG62" t="str">
        <f t="shared" si="24"/>
        <v>MaddisonWissellKeira Park CavalierIntermediate 7-9100</v>
      </c>
    </row>
    <row r="63" spans="1:66">
      <c r="A63" s="3" t="s">
        <v>84</v>
      </c>
      <c r="B63" s="3" t="s">
        <v>49</v>
      </c>
      <c r="C63" s="221" t="s">
        <v>50</v>
      </c>
      <c r="D63" s="202" t="s">
        <v>86</v>
      </c>
      <c r="E63" s="205"/>
      <c r="F63" s="88">
        <f t="shared" si="25"/>
        <v>128</v>
      </c>
      <c r="G63" s="78">
        <f>SUM(AS63,AY63)</f>
        <v>40</v>
      </c>
      <c r="H63" s="19"/>
      <c r="I63" s="3"/>
      <c r="J63" s="3"/>
      <c r="K63" s="11"/>
      <c r="L63" s="88"/>
      <c r="M63" s="78"/>
      <c r="N63" s="19">
        <v>0</v>
      </c>
      <c r="O63" s="3">
        <v>49.55</v>
      </c>
      <c r="P63" s="3">
        <v>41.94</v>
      </c>
      <c r="Q63" s="3">
        <v>4</v>
      </c>
      <c r="R63" s="3">
        <v>41.94</v>
      </c>
      <c r="S63" s="11">
        <v>4</v>
      </c>
      <c r="T63" s="88">
        <v>20</v>
      </c>
      <c r="U63" s="78">
        <f t="shared" si="23"/>
        <v>20</v>
      </c>
      <c r="V63" s="19">
        <v>0</v>
      </c>
      <c r="W63" s="3">
        <v>0</v>
      </c>
      <c r="X63" s="3">
        <v>52.19</v>
      </c>
      <c r="Y63" s="11">
        <v>0</v>
      </c>
      <c r="Z63" s="88">
        <v>20</v>
      </c>
      <c r="AA63" s="78">
        <v>20</v>
      </c>
      <c r="AB63" s="19">
        <v>0</v>
      </c>
      <c r="AC63" s="3">
        <v>0</v>
      </c>
      <c r="AD63" s="3">
        <v>60.56</v>
      </c>
      <c r="AE63" s="3">
        <v>0</v>
      </c>
      <c r="AF63" s="3">
        <v>0</v>
      </c>
      <c r="AG63" s="3">
        <v>0</v>
      </c>
      <c r="AH63" s="11">
        <v>0</v>
      </c>
      <c r="AI63" s="88">
        <v>24</v>
      </c>
      <c r="AJ63" s="78">
        <v>19</v>
      </c>
      <c r="AK63" s="19">
        <v>0</v>
      </c>
      <c r="AL63" s="3">
        <v>0</v>
      </c>
      <c r="AM63" s="3">
        <v>65.47</v>
      </c>
      <c r="AN63" s="3">
        <v>0</v>
      </c>
      <c r="AO63" s="3">
        <v>33.94</v>
      </c>
      <c r="AP63" s="3">
        <v>0</v>
      </c>
      <c r="AQ63" s="11">
        <v>0</v>
      </c>
      <c r="AR63" s="88">
        <v>25</v>
      </c>
      <c r="AS63" s="78">
        <v>20</v>
      </c>
      <c r="AT63" s="19">
        <v>0</v>
      </c>
      <c r="AU63" s="3">
        <v>0</v>
      </c>
      <c r="AV63" s="3">
        <v>52.28</v>
      </c>
      <c r="AW63" s="11">
        <v>0</v>
      </c>
      <c r="AX63" s="88">
        <v>20</v>
      </c>
      <c r="AY63" s="78">
        <v>20</v>
      </c>
      <c r="AZ63" s="19">
        <v>4</v>
      </c>
      <c r="BA63" s="3">
        <v>0</v>
      </c>
      <c r="BB63" s="3">
        <v>59.54</v>
      </c>
      <c r="BC63" s="11">
        <v>4</v>
      </c>
      <c r="BD63" s="88">
        <v>19</v>
      </c>
      <c r="BE63" s="78">
        <v>19</v>
      </c>
      <c r="BF63" s="298" t="s">
        <v>490</v>
      </c>
      <c r="BG63" t="str">
        <f t="shared" si="24"/>
        <v>MaddisonWissellDamara VWNZIntermediate 7-9100</v>
      </c>
    </row>
    <row r="64" spans="1:66">
      <c r="A64" s="3" t="s">
        <v>101</v>
      </c>
      <c r="B64" s="3" t="s">
        <v>33</v>
      </c>
      <c r="C64" s="221" t="s">
        <v>106</v>
      </c>
      <c r="D64" s="202" t="s">
        <v>107</v>
      </c>
      <c r="E64" s="205">
        <v>8</v>
      </c>
      <c r="F64" s="88">
        <f t="shared" si="25"/>
        <v>19</v>
      </c>
      <c r="G64" s="78"/>
      <c r="H64" s="19"/>
      <c r="I64" s="3"/>
      <c r="J64" s="3"/>
      <c r="K64" s="11"/>
      <c r="L64" s="88"/>
      <c r="M64" s="78"/>
      <c r="N64" s="19"/>
      <c r="O64" s="3"/>
      <c r="P64" s="3"/>
      <c r="Q64" s="3"/>
      <c r="R64" s="3"/>
      <c r="S64" s="11" t="str">
        <f t="shared" si="22"/>
        <v/>
      </c>
      <c r="T64" s="88"/>
      <c r="U64" s="78" t="str">
        <f t="shared" si="23"/>
        <v/>
      </c>
      <c r="V64" s="19">
        <v>4</v>
      </c>
      <c r="W64" s="3">
        <v>0</v>
      </c>
      <c r="X64" s="3">
        <v>63.08</v>
      </c>
      <c r="Y64" s="11">
        <v>0</v>
      </c>
      <c r="Z64" s="88">
        <v>19</v>
      </c>
      <c r="AA64" s="78">
        <v>19</v>
      </c>
      <c r="AB64" s="19">
        <v>0</v>
      </c>
      <c r="AC64" s="3">
        <v>0</v>
      </c>
      <c r="AD64" s="3">
        <v>0</v>
      </c>
      <c r="AE64" s="3">
        <v>0</v>
      </c>
      <c r="AF64" s="3">
        <v>0</v>
      </c>
      <c r="AG64" s="3">
        <v>0</v>
      </c>
      <c r="AH64" s="11">
        <v>0</v>
      </c>
      <c r="AI64" s="88">
        <v>0</v>
      </c>
      <c r="AJ64" s="78">
        <f>AI64</f>
        <v>0</v>
      </c>
      <c r="AK64" s="19">
        <v>0</v>
      </c>
      <c r="AL64" s="3">
        <v>0</v>
      </c>
      <c r="AM64" s="3">
        <v>0</v>
      </c>
      <c r="AN64" s="3">
        <v>0</v>
      </c>
      <c r="AO64" s="3">
        <v>0</v>
      </c>
      <c r="AP64" s="3">
        <v>0</v>
      </c>
      <c r="AQ64" s="11">
        <v>0</v>
      </c>
      <c r="AR64" s="88">
        <v>0</v>
      </c>
      <c r="AS64" s="78"/>
      <c r="AT64" s="19"/>
      <c r="AU64" s="3"/>
      <c r="AV64" s="3"/>
      <c r="AW64" s="11"/>
      <c r="AX64" s="88"/>
      <c r="AY64" s="78"/>
      <c r="AZ64" s="19"/>
      <c r="BA64" s="3"/>
      <c r="BB64" s="3"/>
      <c r="BC64" s="11"/>
      <c r="BD64" s="88"/>
      <c r="BE64" s="78"/>
      <c r="BF64" s="298" t="s">
        <v>490</v>
      </c>
      <c r="BG64" t="str">
        <f t="shared" si="24"/>
        <v>StirlingRobertsDartanianIntermediate 7-9100</v>
      </c>
    </row>
    <row r="65" spans="1:59">
      <c r="A65" s="3" t="s">
        <v>99</v>
      </c>
      <c r="B65" s="3" t="s">
        <v>41</v>
      </c>
      <c r="C65" s="202" t="s">
        <v>42</v>
      </c>
      <c r="D65" s="202" t="s">
        <v>100</v>
      </c>
      <c r="E65" s="205"/>
      <c r="F65" s="88"/>
      <c r="G65" s="78"/>
      <c r="H65" s="19"/>
      <c r="I65" s="3"/>
      <c r="J65" s="3"/>
      <c r="K65" s="11"/>
      <c r="L65" s="88"/>
      <c r="M65" s="78"/>
      <c r="N65" s="19"/>
      <c r="O65" s="3"/>
      <c r="P65" s="3"/>
      <c r="Q65" s="3"/>
      <c r="R65" s="3"/>
      <c r="S65" s="11"/>
      <c r="T65" s="88"/>
      <c r="U65" s="78"/>
      <c r="V65" s="19"/>
      <c r="W65" s="3"/>
      <c r="X65" s="3"/>
      <c r="Y65" s="11"/>
      <c r="Z65" s="88"/>
      <c r="AA65" s="78"/>
      <c r="AB65" s="19"/>
      <c r="AC65" s="3"/>
      <c r="AD65" s="3"/>
      <c r="AE65" s="3"/>
      <c r="AF65" s="3"/>
      <c r="AG65" s="3"/>
      <c r="AH65" s="11"/>
      <c r="AI65" s="88"/>
      <c r="AJ65" s="78"/>
      <c r="AK65" s="19"/>
      <c r="AL65" s="3"/>
      <c r="AM65" s="3"/>
      <c r="AN65" s="3"/>
      <c r="AO65" s="3"/>
      <c r="AP65" s="3"/>
      <c r="AQ65" s="11"/>
      <c r="AR65" s="88"/>
      <c r="AS65" s="78"/>
      <c r="AT65" s="19">
        <v>12</v>
      </c>
      <c r="AU65" s="3">
        <v>0</v>
      </c>
      <c r="AV65" s="3">
        <v>56.16</v>
      </c>
      <c r="AW65" s="11">
        <v>12</v>
      </c>
      <c r="AX65" s="88"/>
      <c r="AY65" s="78"/>
      <c r="AZ65" s="19"/>
      <c r="BA65" s="3"/>
      <c r="BB65" s="3"/>
      <c r="BC65" s="11"/>
      <c r="BD65" s="88"/>
      <c r="BE65" s="78"/>
      <c r="BF65" s="298"/>
    </row>
    <row r="66" spans="1:59" ht="16.5" thickBot="1">
      <c r="A66" s="3"/>
      <c r="B66" s="3"/>
      <c r="C66" s="3"/>
      <c r="D66" s="3"/>
      <c r="E66" s="205"/>
      <c r="F66" s="90"/>
      <c r="G66" s="86"/>
      <c r="H66" s="19"/>
      <c r="I66" s="3"/>
      <c r="J66" s="3"/>
      <c r="K66" s="11"/>
      <c r="L66" s="90"/>
      <c r="M66" s="86"/>
      <c r="N66" s="19"/>
      <c r="O66" s="3"/>
      <c r="P66" s="3"/>
      <c r="Q66" s="3"/>
      <c r="R66" s="3"/>
      <c r="S66" s="11"/>
      <c r="T66" s="90"/>
      <c r="U66" s="86"/>
      <c r="V66" s="19"/>
      <c r="W66" s="3"/>
      <c r="X66" s="3"/>
      <c r="Y66" s="11"/>
      <c r="Z66" s="90"/>
      <c r="AA66" s="86"/>
      <c r="AB66" s="19"/>
      <c r="AC66" s="3"/>
      <c r="AD66" s="3"/>
      <c r="AE66" s="3"/>
      <c r="AF66" s="3"/>
      <c r="AG66" s="3"/>
      <c r="AH66" s="11"/>
      <c r="AI66" s="90"/>
      <c r="AJ66" s="86"/>
      <c r="AK66" s="19"/>
      <c r="AL66" s="3"/>
      <c r="AM66" s="3"/>
      <c r="AN66" s="3"/>
      <c r="AO66" s="3"/>
      <c r="AP66" s="3"/>
      <c r="AQ66" s="11"/>
      <c r="AR66" s="90"/>
      <c r="AS66" s="86"/>
      <c r="AT66" s="19"/>
      <c r="AU66" s="3"/>
      <c r="AV66" s="3"/>
      <c r="AW66" s="11"/>
      <c r="AX66" s="90"/>
      <c r="AY66" s="86"/>
      <c r="AZ66" s="19"/>
      <c r="BA66" s="3"/>
      <c r="BB66" s="3"/>
      <c r="BC66" s="11"/>
      <c r="BD66" s="90"/>
      <c r="BE66" s="86"/>
      <c r="BF66" s="298"/>
    </row>
    <row r="67" spans="1:59" ht="16.5" thickBot="1">
      <c r="A67" s="7"/>
      <c r="B67" s="7"/>
      <c r="C67" s="7"/>
      <c r="D67" s="7"/>
      <c r="E67" s="7"/>
      <c r="AQ67" s="299"/>
    </row>
    <row r="68" spans="1:59" ht="24" thickBot="1">
      <c r="H68" s="410" t="s">
        <v>1</v>
      </c>
      <c r="I68" s="411"/>
      <c r="J68" s="411"/>
      <c r="K68" s="411"/>
      <c r="L68" s="411"/>
      <c r="M68" s="412"/>
      <c r="N68" s="399" t="s">
        <v>2</v>
      </c>
      <c r="O68" s="400"/>
      <c r="P68" s="400"/>
      <c r="Q68" s="400"/>
      <c r="R68" s="400"/>
      <c r="S68" s="400"/>
      <c r="T68" s="400"/>
      <c r="U68" s="401"/>
      <c r="V68" s="402" t="s">
        <v>3</v>
      </c>
      <c r="W68" s="403"/>
      <c r="X68" s="403"/>
      <c r="Y68" s="403"/>
      <c r="Z68" s="403"/>
      <c r="AA68" s="404"/>
      <c r="AB68" s="390" t="s">
        <v>4</v>
      </c>
      <c r="AC68" s="391"/>
      <c r="AD68" s="391"/>
      <c r="AE68" s="391"/>
      <c r="AF68" s="391"/>
      <c r="AG68" s="391"/>
      <c r="AH68" s="391"/>
      <c r="AI68" s="391"/>
      <c r="AJ68" s="392"/>
      <c r="AK68" s="393" t="s">
        <v>5</v>
      </c>
      <c r="AL68" s="394"/>
      <c r="AM68" s="394"/>
      <c r="AN68" s="394"/>
      <c r="AO68" s="394"/>
      <c r="AP68" s="394"/>
      <c r="AQ68" s="394"/>
      <c r="AR68" s="394"/>
      <c r="AS68" s="395"/>
      <c r="AT68" s="396" t="s">
        <v>6</v>
      </c>
      <c r="AU68" s="397"/>
      <c r="AV68" s="397"/>
      <c r="AW68" s="397"/>
      <c r="AX68" s="397"/>
      <c r="AY68" s="398"/>
      <c r="AZ68" s="405" t="s">
        <v>7</v>
      </c>
      <c r="BA68" s="406"/>
      <c r="BB68" s="406"/>
      <c r="BC68" s="406"/>
      <c r="BD68" s="406"/>
      <c r="BE68" s="407"/>
    </row>
    <row r="69" spans="1:59" s="43" customFormat="1" ht="63">
      <c r="A69" s="414" t="s">
        <v>108</v>
      </c>
      <c r="B69" s="415"/>
      <c r="C69" s="415"/>
      <c r="D69" s="415"/>
      <c r="E69" s="415"/>
      <c r="F69" s="117" t="s">
        <v>9</v>
      </c>
      <c r="G69" s="51" t="s">
        <v>10</v>
      </c>
      <c r="H69" s="47" t="s">
        <v>11</v>
      </c>
      <c r="I69" s="41" t="s">
        <v>12</v>
      </c>
      <c r="J69" s="42" t="s">
        <v>13</v>
      </c>
      <c r="K69" s="48" t="s">
        <v>14</v>
      </c>
      <c r="L69" s="97" t="s">
        <v>15</v>
      </c>
      <c r="M69" s="51" t="s">
        <v>16</v>
      </c>
      <c r="N69" s="59" t="s">
        <v>11</v>
      </c>
      <c r="O69" s="55" t="s">
        <v>17</v>
      </c>
      <c r="P69" s="61" t="s">
        <v>18</v>
      </c>
      <c r="Q69" s="55" t="s">
        <v>19</v>
      </c>
      <c r="R69" s="39" t="s">
        <v>466</v>
      </c>
      <c r="S69" s="37" t="s">
        <v>14</v>
      </c>
      <c r="T69" s="97" t="s">
        <v>15</v>
      </c>
      <c r="U69" s="51" t="s">
        <v>16</v>
      </c>
      <c r="V69" s="47" t="s">
        <v>11</v>
      </c>
      <c r="W69" s="41" t="s">
        <v>12</v>
      </c>
      <c r="X69" s="42" t="s">
        <v>13</v>
      </c>
      <c r="Y69" s="48" t="s">
        <v>14</v>
      </c>
      <c r="Z69" s="97" t="s">
        <v>15</v>
      </c>
      <c r="AA69" s="51" t="s">
        <v>16</v>
      </c>
      <c r="AB69" s="274" t="s">
        <v>483</v>
      </c>
      <c r="AC69" s="188" t="s">
        <v>484</v>
      </c>
      <c r="AD69" s="275" t="s">
        <v>485</v>
      </c>
      <c r="AE69" s="276" t="s">
        <v>486</v>
      </c>
      <c r="AF69" s="277" t="s">
        <v>487</v>
      </c>
      <c r="AG69" s="246" t="s">
        <v>488</v>
      </c>
      <c r="AH69" s="246" t="s">
        <v>489</v>
      </c>
      <c r="AI69" s="97" t="s">
        <v>15</v>
      </c>
      <c r="AJ69" s="51" t="s">
        <v>16</v>
      </c>
      <c r="AK69" s="274" t="s">
        <v>483</v>
      </c>
      <c r="AL69" s="188" t="s">
        <v>484</v>
      </c>
      <c r="AM69" s="275" t="s">
        <v>485</v>
      </c>
      <c r="AN69" s="276" t="s">
        <v>486</v>
      </c>
      <c r="AO69" s="277" t="s">
        <v>487</v>
      </c>
      <c r="AP69" s="246" t="s">
        <v>488</v>
      </c>
      <c r="AQ69" s="246" t="s">
        <v>489</v>
      </c>
      <c r="AR69" s="97" t="s">
        <v>15</v>
      </c>
      <c r="AS69" s="51" t="s">
        <v>16</v>
      </c>
      <c r="AT69" s="47" t="s">
        <v>11</v>
      </c>
      <c r="AU69" s="297" t="s">
        <v>513</v>
      </c>
      <c r="AV69" s="41" t="s">
        <v>21</v>
      </c>
      <c r="AW69" s="48" t="s">
        <v>14</v>
      </c>
      <c r="AX69" s="97" t="s">
        <v>15</v>
      </c>
      <c r="AY69" s="51" t="s">
        <v>16</v>
      </c>
      <c r="AZ69" s="59" t="s">
        <v>11</v>
      </c>
      <c r="BA69" s="297" t="s">
        <v>513</v>
      </c>
      <c r="BB69" s="56" t="s">
        <v>21</v>
      </c>
      <c r="BC69" s="62" t="s">
        <v>14</v>
      </c>
      <c r="BD69" s="97" t="s">
        <v>15</v>
      </c>
      <c r="BE69" s="51" t="s">
        <v>16</v>
      </c>
      <c r="BF69" s="43">
        <v>90</v>
      </c>
    </row>
    <row r="70" spans="1:59">
      <c r="A70" s="1" t="s">
        <v>22</v>
      </c>
      <c r="B70" s="1" t="s">
        <v>23</v>
      </c>
      <c r="C70" s="1" t="s">
        <v>24</v>
      </c>
      <c r="D70" s="1" t="s">
        <v>25</v>
      </c>
      <c r="E70" s="4" t="s">
        <v>26</v>
      </c>
      <c r="F70" s="88"/>
      <c r="G70" s="78"/>
      <c r="H70" s="19"/>
      <c r="I70" s="3"/>
      <c r="J70" s="3"/>
      <c r="K70" s="11"/>
      <c r="L70" s="88"/>
      <c r="M70" s="78"/>
      <c r="N70" s="19"/>
      <c r="O70" s="3"/>
      <c r="P70" s="3"/>
      <c r="Q70" s="3"/>
      <c r="R70" s="3"/>
      <c r="S70" s="11" t="str">
        <f t="shared" ref="S70:S78" si="26">IF(N70=0,"",N70)</f>
        <v/>
      </c>
      <c r="T70" s="88"/>
      <c r="U70" s="78" t="str">
        <f t="shared" ref="U70" si="27">IF(T70="","",T70)</f>
        <v/>
      </c>
      <c r="V70" s="19"/>
      <c r="W70" s="3"/>
      <c r="X70" s="3"/>
      <c r="Y70" s="11"/>
      <c r="Z70" s="88"/>
      <c r="AA70" s="78"/>
      <c r="AB70" s="19"/>
      <c r="AC70" s="3"/>
      <c r="AD70" s="3"/>
      <c r="AE70" s="3"/>
      <c r="AF70" s="3"/>
      <c r="AG70" s="3"/>
      <c r="AH70" s="11"/>
      <c r="AI70" s="88"/>
      <c r="AJ70" s="78"/>
      <c r="AK70" s="19"/>
      <c r="AL70" s="3"/>
      <c r="AM70" s="3"/>
      <c r="AN70" s="3"/>
      <c r="AO70" s="3"/>
      <c r="AP70" s="3"/>
      <c r="AQ70" s="11"/>
      <c r="AR70" s="88"/>
      <c r="AS70" s="78"/>
      <c r="AT70" s="19"/>
      <c r="AU70" s="3"/>
      <c r="AV70" s="3"/>
      <c r="AW70" s="11"/>
      <c r="AX70" s="88"/>
      <c r="AY70" s="78"/>
      <c r="AZ70" s="19"/>
      <c r="BA70" s="3"/>
      <c r="BB70" s="3"/>
      <c r="BC70" s="11"/>
      <c r="BD70" s="88"/>
      <c r="BE70" s="78"/>
      <c r="BF70" s="302" t="s">
        <v>491</v>
      </c>
      <c r="BG70" t="str">
        <f t="shared" ref="BG70:BG79" si="28">A70&amp;B70&amp;D70&amp;BF70&amp;$BF$69</f>
        <v>Rider First NameRider Last NameName of Pony/HorseSecondary &gt;990</v>
      </c>
    </row>
    <row r="71" spans="1:59">
      <c r="A71" s="3" t="s">
        <v>109</v>
      </c>
      <c r="B71" s="3" t="s">
        <v>110</v>
      </c>
      <c r="C71" s="202" t="s">
        <v>111</v>
      </c>
      <c r="D71" s="202" t="s">
        <v>112</v>
      </c>
      <c r="E71" s="4"/>
      <c r="F71" s="88">
        <f>L71+T71+Z71+AI71+AR71+AX71+BD71</f>
        <v>0</v>
      </c>
      <c r="G71" s="78"/>
      <c r="H71" s="19"/>
      <c r="I71" s="3"/>
      <c r="J71" s="3"/>
      <c r="K71" s="11"/>
      <c r="L71" s="88"/>
      <c r="M71" s="78"/>
      <c r="N71" s="19"/>
      <c r="O71" s="3"/>
      <c r="P71" s="3"/>
      <c r="Q71" s="3"/>
      <c r="R71" s="3"/>
      <c r="S71" s="11" t="str">
        <f t="shared" si="26"/>
        <v/>
      </c>
      <c r="T71" s="88"/>
      <c r="U71" s="78" t="str">
        <f t="shared" ref="U71:U78" si="29">IF(T71="","",T71)</f>
        <v/>
      </c>
      <c r="V71" s="19"/>
      <c r="W71" s="3"/>
      <c r="X71" s="3"/>
      <c r="Y71" s="11"/>
      <c r="Z71" s="88"/>
      <c r="AA71" s="78"/>
      <c r="AB71" s="19">
        <v>0</v>
      </c>
      <c r="AC71" s="3">
        <v>0</v>
      </c>
      <c r="AD71" s="3">
        <v>0</v>
      </c>
      <c r="AE71" s="3">
        <v>0</v>
      </c>
      <c r="AF71" s="3">
        <v>0</v>
      </c>
      <c r="AG71" s="3">
        <v>0</v>
      </c>
      <c r="AH71" s="11">
        <v>0</v>
      </c>
      <c r="AI71" s="88"/>
      <c r="AJ71" s="78"/>
      <c r="AK71" s="19">
        <v>0</v>
      </c>
      <c r="AL71" s="3">
        <v>0</v>
      </c>
      <c r="AM71" s="3">
        <v>0</v>
      </c>
      <c r="AN71" s="3">
        <v>0</v>
      </c>
      <c r="AO71" s="3">
        <v>0</v>
      </c>
      <c r="AP71" s="3">
        <v>0</v>
      </c>
      <c r="AQ71" s="11">
        <v>0</v>
      </c>
      <c r="AR71" s="88">
        <v>0</v>
      </c>
      <c r="AS71" s="78"/>
      <c r="AT71" s="19"/>
      <c r="AU71" s="3"/>
      <c r="AV71" s="3"/>
      <c r="AW71" s="11"/>
      <c r="AX71" s="88"/>
      <c r="AY71" s="78"/>
      <c r="AZ71" s="19"/>
      <c r="BA71" s="3"/>
      <c r="BB71" s="3"/>
      <c r="BC71" s="11"/>
      <c r="BD71" s="88"/>
      <c r="BE71" s="78"/>
      <c r="BF71" s="302" t="s">
        <v>491</v>
      </c>
      <c r="BG71" t="str">
        <f t="shared" si="28"/>
        <v>ElizaSpiersHillswood Beatrice Secondary &gt;990</v>
      </c>
    </row>
    <row r="72" spans="1:59">
      <c r="A72" s="3" t="s">
        <v>113</v>
      </c>
      <c r="B72" s="3" t="s">
        <v>114</v>
      </c>
      <c r="C72" s="229" t="s">
        <v>115</v>
      </c>
      <c r="D72" s="3" t="s">
        <v>116</v>
      </c>
      <c r="E72" s="4"/>
      <c r="F72" s="88">
        <f>L72+T72+Z72+AI72+AR72+AX72+BD72</f>
        <v>81</v>
      </c>
      <c r="G72" s="78">
        <f>SUM(AS72,AA72)</f>
        <v>37</v>
      </c>
      <c r="H72" s="19">
        <v>16</v>
      </c>
      <c r="I72" s="3">
        <v>0</v>
      </c>
      <c r="J72" s="3">
        <v>84.16</v>
      </c>
      <c r="K72" s="11">
        <v>16</v>
      </c>
      <c r="L72" s="88">
        <v>0</v>
      </c>
      <c r="M72" s="78" t="s">
        <v>31</v>
      </c>
      <c r="N72" s="19"/>
      <c r="O72" s="3"/>
      <c r="P72" s="3"/>
      <c r="Q72" s="3"/>
      <c r="R72" s="3"/>
      <c r="S72" s="11" t="str">
        <f t="shared" si="26"/>
        <v/>
      </c>
      <c r="T72" s="88"/>
      <c r="U72" s="78" t="str">
        <f t="shared" si="29"/>
        <v/>
      </c>
      <c r="V72" s="19">
        <v>4</v>
      </c>
      <c r="W72" s="3">
        <v>0</v>
      </c>
      <c r="X72" s="3">
        <v>62.97</v>
      </c>
      <c r="Y72" s="11">
        <v>4</v>
      </c>
      <c r="Z72" s="88">
        <v>19</v>
      </c>
      <c r="AA72" s="78">
        <v>19</v>
      </c>
      <c r="AB72" s="19">
        <v>4</v>
      </c>
      <c r="AC72" s="3">
        <v>9</v>
      </c>
      <c r="AD72" s="3">
        <v>82.64</v>
      </c>
      <c r="AE72" s="3">
        <v>0</v>
      </c>
      <c r="AF72" s="3">
        <v>0</v>
      </c>
      <c r="AG72" s="3">
        <v>13</v>
      </c>
      <c r="AH72" s="11">
        <v>13</v>
      </c>
      <c r="AI72" s="88">
        <v>22</v>
      </c>
      <c r="AJ72" s="78">
        <v>16</v>
      </c>
      <c r="AK72" s="19">
        <v>4</v>
      </c>
      <c r="AL72" s="3">
        <v>0</v>
      </c>
      <c r="AM72" s="3">
        <v>68.06</v>
      </c>
      <c r="AN72" s="3">
        <v>0</v>
      </c>
      <c r="AO72" s="3">
        <v>0</v>
      </c>
      <c r="AP72" s="3">
        <v>4</v>
      </c>
      <c r="AQ72" s="11">
        <v>4</v>
      </c>
      <c r="AR72" s="88">
        <v>23</v>
      </c>
      <c r="AS72" s="78">
        <v>18</v>
      </c>
      <c r="AT72" s="19"/>
      <c r="AU72" s="3"/>
      <c r="AV72" s="3"/>
      <c r="AW72" s="11"/>
      <c r="AX72" s="88"/>
      <c r="AY72" s="78"/>
      <c r="AZ72" s="19">
        <v>8</v>
      </c>
      <c r="BA72" s="3">
        <v>0</v>
      </c>
      <c r="BB72" s="3">
        <v>70.319999999999993</v>
      </c>
      <c r="BC72" s="11">
        <v>8</v>
      </c>
      <c r="BD72" s="88">
        <v>17</v>
      </c>
      <c r="BE72" s="78">
        <f>BD72</f>
        <v>17</v>
      </c>
      <c r="BF72" s="302" t="s">
        <v>491</v>
      </c>
      <c r="BG72" t="str">
        <f t="shared" si="28"/>
        <v>EmilyCroweDawn SaluteSecondary &gt;990</v>
      </c>
    </row>
    <row r="73" spans="1:59">
      <c r="A73" s="3" t="s">
        <v>117</v>
      </c>
      <c r="B73" s="3" t="s">
        <v>118</v>
      </c>
      <c r="C73" s="202" t="s">
        <v>119</v>
      </c>
      <c r="D73" s="202" t="s">
        <v>120</v>
      </c>
      <c r="E73" s="4"/>
      <c r="F73" s="88">
        <f t="shared" ref="F73:F80" si="30">L73+T73+Z73+AI73+AR73+AX73+BD73</f>
        <v>86</v>
      </c>
      <c r="G73" s="78">
        <f>SUM(AS73,M73)</f>
        <v>39</v>
      </c>
      <c r="H73" s="19">
        <v>8</v>
      </c>
      <c r="I73" s="3">
        <v>0</v>
      </c>
      <c r="J73" s="3">
        <v>76.69</v>
      </c>
      <c r="K73" s="11">
        <v>8</v>
      </c>
      <c r="L73" s="88">
        <v>20</v>
      </c>
      <c r="M73" s="78">
        <v>20</v>
      </c>
      <c r="N73" s="19"/>
      <c r="O73" s="3"/>
      <c r="P73" s="3"/>
      <c r="Q73" s="3"/>
      <c r="R73" s="3"/>
      <c r="S73" s="11" t="str">
        <f t="shared" si="26"/>
        <v/>
      </c>
      <c r="T73" s="88"/>
      <c r="U73" s="78" t="str">
        <f t="shared" si="29"/>
        <v/>
      </c>
      <c r="V73" s="19"/>
      <c r="W73" s="3"/>
      <c r="X73" s="3"/>
      <c r="Y73" s="11"/>
      <c r="Z73" s="88"/>
      <c r="AA73" s="78"/>
      <c r="AB73" s="19">
        <v>0</v>
      </c>
      <c r="AC73" s="3">
        <v>5</v>
      </c>
      <c r="AD73" s="3">
        <v>77.62</v>
      </c>
      <c r="AE73" s="3">
        <v>0</v>
      </c>
      <c r="AF73" s="3">
        <v>0</v>
      </c>
      <c r="AG73" s="3">
        <v>5</v>
      </c>
      <c r="AH73" s="11">
        <v>5</v>
      </c>
      <c r="AI73" s="88">
        <v>23</v>
      </c>
      <c r="AJ73" s="78">
        <v>17</v>
      </c>
      <c r="AK73" s="19">
        <v>4</v>
      </c>
      <c r="AL73" s="3">
        <v>0</v>
      </c>
      <c r="AM73" s="3">
        <v>63.68</v>
      </c>
      <c r="AN73" s="3">
        <v>0</v>
      </c>
      <c r="AO73" s="3">
        <v>0</v>
      </c>
      <c r="AP73" s="3">
        <v>4</v>
      </c>
      <c r="AQ73" s="11">
        <v>4</v>
      </c>
      <c r="AR73" s="88">
        <v>24</v>
      </c>
      <c r="AS73" s="78">
        <v>19</v>
      </c>
      <c r="AT73" s="19">
        <v>4</v>
      </c>
      <c r="AU73" s="3">
        <v>0</v>
      </c>
      <c r="AV73" s="3">
        <v>59</v>
      </c>
      <c r="AW73" s="11">
        <v>4</v>
      </c>
      <c r="AX73" s="88">
        <v>19</v>
      </c>
      <c r="AY73" s="78">
        <f>AX73</f>
        <v>19</v>
      </c>
      <c r="AZ73" s="19"/>
      <c r="BA73" s="3"/>
      <c r="BB73" s="3"/>
      <c r="BC73" s="11"/>
      <c r="BD73" s="88"/>
      <c r="BE73" s="78"/>
      <c r="BF73" s="302" t="s">
        <v>491</v>
      </c>
      <c r="BG73" t="str">
        <f t="shared" si="28"/>
        <v>HaileyArnoldWyoming LassSecondary &gt;990</v>
      </c>
    </row>
    <row r="74" spans="1:59">
      <c r="A74" s="3" t="s">
        <v>121</v>
      </c>
      <c r="B74" s="3" t="s">
        <v>122</v>
      </c>
      <c r="C74" s="229" t="s">
        <v>123</v>
      </c>
      <c r="D74" s="202" t="s">
        <v>124</v>
      </c>
      <c r="E74" s="4"/>
      <c r="F74" s="88">
        <f t="shared" si="30"/>
        <v>70</v>
      </c>
      <c r="G74" s="78">
        <f>SUM(AS74,BE74)</f>
        <v>40</v>
      </c>
      <c r="H74" s="19">
        <v>8</v>
      </c>
      <c r="I74" s="3">
        <v>7</v>
      </c>
      <c r="J74" s="3">
        <v>96.38</v>
      </c>
      <c r="K74" s="11">
        <v>15</v>
      </c>
      <c r="L74" s="88">
        <v>0</v>
      </c>
      <c r="M74" s="78" t="s">
        <v>31</v>
      </c>
      <c r="N74" s="19"/>
      <c r="O74" s="3"/>
      <c r="P74" s="3"/>
      <c r="Q74" s="3"/>
      <c r="R74" s="3"/>
      <c r="S74" s="11" t="str">
        <f t="shared" si="26"/>
        <v/>
      </c>
      <c r="T74" s="88"/>
      <c r="U74" s="78" t="str">
        <f t="shared" si="29"/>
        <v/>
      </c>
      <c r="V74" s="19"/>
      <c r="W74" s="3"/>
      <c r="X74" s="3"/>
      <c r="Y74" s="11"/>
      <c r="Z74" s="88"/>
      <c r="AA74" s="78"/>
      <c r="AB74" s="19">
        <v>0</v>
      </c>
      <c r="AC74" s="3">
        <v>0</v>
      </c>
      <c r="AD74" s="3">
        <v>69.69</v>
      </c>
      <c r="AE74" s="3">
        <v>0</v>
      </c>
      <c r="AF74" s="3">
        <v>50.79</v>
      </c>
      <c r="AG74" s="3">
        <v>0</v>
      </c>
      <c r="AH74" s="11">
        <v>0</v>
      </c>
      <c r="AI74" s="88">
        <v>25</v>
      </c>
      <c r="AJ74" s="78">
        <v>19</v>
      </c>
      <c r="AK74" s="19">
        <v>0</v>
      </c>
      <c r="AL74" s="3">
        <v>0</v>
      </c>
      <c r="AM74" s="3">
        <v>58.66</v>
      </c>
      <c r="AN74" s="3">
        <v>0</v>
      </c>
      <c r="AO74" s="3">
        <v>0</v>
      </c>
      <c r="AP74" s="3">
        <v>0</v>
      </c>
      <c r="AQ74" s="11">
        <v>0</v>
      </c>
      <c r="AR74" s="88">
        <v>25</v>
      </c>
      <c r="AS74" s="78">
        <v>20</v>
      </c>
      <c r="AT74" s="19"/>
      <c r="AU74" s="3"/>
      <c r="AV74" s="3"/>
      <c r="AW74" s="11"/>
      <c r="AX74" s="88"/>
      <c r="AY74" s="78"/>
      <c r="AZ74" s="19">
        <v>0</v>
      </c>
      <c r="BA74" s="3">
        <v>0</v>
      </c>
      <c r="BB74" s="3">
        <v>58.42</v>
      </c>
      <c r="BC74" s="11">
        <v>0</v>
      </c>
      <c r="BD74" s="88">
        <v>20</v>
      </c>
      <c r="BE74" s="78">
        <f>BD74</f>
        <v>20</v>
      </c>
      <c r="BF74" s="302" t="s">
        <v>491</v>
      </c>
      <c r="BG74" t="str">
        <f t="shared" si="28"/>
        <v>IndyBerdenMcCartney Park Sugar n SpiceSecondary &gt;990</v>
      </c>
    </row>
    <row r="75" spans="1:59">
      <c r="A75" s="202" t="s">
        <v>125</v>
      </c>
      <c r="B75" s="202" t="s">
        <v>126</v>
      </c>
      <c r="C75" s="202" t="s">
        <v>127</v>
      </c>
      <c r="D75" s="202" t="s">
        <v>128</v>
      </c>
      <c r="E75" s="4"/>
      <c r="F75" s="88">
        <f t="shared" si="30"/>
        <v>0</v>
      </c>
      <c r="G75" s="78"/>
      <c r="H75" s="19"/>
      <c r="I75" s="3"/>
      <c r="J75" s="3"/>
      <c r="K75" s="11"/>
      <c r="L75" s="88"/>
      <c r="M75" s="78"/>
      <c r="N75" s="19"/>
      <c r="O75" s="3"/>
      <c r="P75" s="3"/>
      <c r="Q75" s="3"/>
      <c r="R75" s="3"/>
      <c r="S75" s="11" t="str">
        <f t="shared" si="26"/>
        <v/>
      </c>
      <c r="T75" s="88"/>
      <c r="U75" s="78" t="str">
        <f t="shared" si="29"/>
        <v/>
      </c>
      <c r="V75" s="19"/>
      <c r="W75" s="3"/>
      <c r="X75" s="3"/>
      <c r="Y75" s="11"/>
      <c r="Z75" s="88"/>
      <c r="AA75" s="78"/>
      <c r="AB75" s="19">
        <v>0</v>
      </c>
      <c r="AC75" s="3">
        <v>0</v>
      </c>
      <c r="AD75" s="3">
        <v>0</v>
      </c>
      <c r="AE75" s="3">
        <v>0</v>
      </c>
      <c r="AF75" s="3">
        <v>0</v>
      </c>
      <c r="AG75" s="3">
        <v>0</v>
      </c>
      <c r="AH75" s="11">
        <v>0</v>
      </c>
      <c r="AI75" s="88">
        <v>0</v>
      </c>
      <c r="AJ75" s="78"/>
      <c r="AK75" s="19">
        <v>0</v>
      </c>
      <c r="AL75" s="3">
        <v>0</v>
      </c>
      <c r="AM75" s="3">
        <v>0</v>
      </c>
      <c r="AN75" s="3">
        <v>0</v>
      </c>
      <c r="AO75" s="3">
        <v>0</v>
      </c>
      <c r="AP75" s="3">
        <v>0</v>
      </c>
      <c r="AQ75" s="11">
        <v>0</v>
      </c>
      <c r="AR75" s="88">
        <v>0</v>
      </c>
      <c r="AS75" s="78"/>
      <c r="AT75" s="19"/>
      <c r="AU75" s="3"/>
      <c r="AV75" s="3"/>
      <c r="AW75" s="11"/>
      <c r="AX75" s="88"/>
      <c r="AY75" s="78"/>
      <c r="AZ75" s="19"/>
      <c r="BA75" s="3"/>
      <c r="BB75" s="3"/>
      <c r="BC75" s="11"/>
      <c r="BD75" s="88"/>
      <c r="BE75" s="78"/>
      <c r="BF75" s="302" t="s">
        <v>491</v>
      </c>
      <c r="BG75" t="str">
        <f t="shared" si="28"/>
        <v>KeelyHutchinsonExmoor Celtic SnowSecondary &gt;990</v>
      </c>
    </row>
    <row r="76" spans="1:59">
      <c r="A76" s="3" t="s">
        <v>129</v>
      </c>
      <c r="B76" s="3" t="s">
        <v>130</v>
      </c>
      <c r="C76" s="202" t="s">
        <v>63</v>
      </c>
      <c r="D76" s="202" t="s">
        <v>131</v>
      </c>
      <c r="E76" s="4"/>
      <c r="F76" s="88">
        <f t="shared" si="30"/>
        <v>105</v>
      </c>
      <c r="G76" s="78">
        <f>SUM(U76,AY76)</f>
        <v>40</v>
      </c>
      <c r="H76" s="19">
        <v>8</v>
      </c>
      <c r="I76" s="3">
        <v>5</v>
      </c>
      <c r="J76" s="3">
        <v>88.63</v>
      </c>
      <c r="K76" s="11">
        <v>13</v>
      </c>
      <c r="L76" s="88">
        <v>0</v>
      </c>
      <c r="M76" s="78" t="s">
        <v>31</v>
      </c>
      <c r="N76" s="19">
        <v>0</v>
      </c>
      <c r="O76" s="3">
        <v>53.57</v>
      </c>
      <c r="P76" s="3">
        <v>48.17</v>
      </c>
      <c r="Q76" s="3">
        <v>0</v>
      </c>
      <c r="R76" s="3">
        <v>48.17</v>
      </c>
      <c r="S76" s="11">
        <v>0</v>
      </c>
      <c r="T76" s="88">
        <v>20</v>
      </c>
      <c r="U76" s="78">
        <f t="shared" si="29"/>
        <v>20</v>
      </c>
      <c r="V76" s="19"/>
      <c r="W76" s="3"/>
      <c r="X76" s="3"/>
      <c r="Y76" s="11"/>
      <c r="Z76" s="88"/>
      <c r="AA76" s="78"/>
      <c r="AB76" s="19">
        <v>0</v>
      </c>
      <c r="AC76" s="3">
        <v>0</v>
      </c>
      <c r="AD76" s="3">
        <v>72.62</v>
      </c>
      <c r="AE76" s="3">
        <v>0</v>
      </c>
      <c r="AF76" s="3">
        <v>53.58</v>
      </c>
      <c r="AG76" s="3">
        <v>0</v>
      </c>
      <c r="AH76" s="11">
        <v>0</v>
      </c>
      <c r="AI76" s="88">
        <v>24</v>
      </c>
      <c r="AJ76" s="78">
        <v>18</v>
      </c>
      <c r="AK76" s="19">
        <v>4</v>
      </c>
      <c r="AL76" s="3">
        <v>4</v>
      </c>
      <c r="AM76" s="3">
        <v>78.47</v>
      </c>
      <c r="AN76" s="3">
        <v>0</v>
      </c>
      <c r="AO76" s="3">
        <v>0</v>
      </c>
      <c r="AP76" s="3">
        <v>8</v>
      </c>
      <c r="AQ76" s="11">
        <v>8</v>
      </c>
      <c r="AR76" s="88">
        <v>22</v>
      </c>
      <c r="AS76" s="78">
        <v>17</v>
      </c>
      <c r="AT76" s="19">
        <v>0</v>
      </c>
      <c r="AU76" s="3">
        <v>0</v>
      </c>
      <c r="AV76" s="3">
        <v>59.9</v>
      </c>
      <c r="AW76" s="11">
        <v>0</v>
      </c>
      <c r="AX76" s="88">
        <v>20</v>
      </c>
      <c r="AY76" s="78">
        <f>AX76</f>
        <v>20</v>
      </c>
      <c r="AZ76" s="19">
        <v>0</v>
      </c>
      <c r="BA76" s="3">
        <v>0</v>
      </c>
      <c r="BB76" s="3">
        <v>66.08</v>
      </c>
      <c r="BC76" s="11">
        <v>0</v>
      </c>
      <c r="BD76" s="88">
        <v>19</v>
      </c>
      <c r="BE76" s="78">
        <f>BD76</f>
        <v>19</v>
      </c>
      <c r="BF76" s="302" t="s">
        <v>491</v>
      </c>
      <c r="BG76" t="str">
        <f t="shared" si="28"/>
        <v>SabelaMooreForrest GumppSecondary &gt;990</v>
      </c>
    </row>
    <row r="77" spans="1:59">
      <c r="A77" s="202" t="s">
        <v>132</v>
      </c>
      <c r="B77" s="202" t="s">
        <v>133</v>
      </c>
      <c r="C77" s="3" t="s">
        <v>134</v>
      </c>
      <c r="D77" s="202" t="s">
        <v>135</v>
      </c>
      <c r="E77" s="4"/>
      <c r="F77" s="88">
        <f t="shared" si="30"/>
        <v>78</v>
      </c>
      <c r="G77" s="78">
        <v>39</v>
      </c>
      <c r="H77" s="19"/>
      <c r="I77" s="3"/>
      <c r="J77" s="3"/>
      <c r="K77" s="11"/>
      <c r="L77" s="88"/>
      <c r="M77" s="78"/>
      <c r="N77" s="19">
        <v>4</v>
      </c>
      <c r="O77" s="3">
        <v>62</v>
      </c>
      <c r="P77" s="3">
        <v>52.56</v>
      </c>
      <c r="Q77" s="3">
        <v>0</v>
      </c>
      <c r="R77" s="3">
        <v>52.56</v>
      </c>
      <c r="S77" s="11">
        <f t="shared" si="26"/>
        <v>4</v>
      </c>
      <c r="T77" s="88">
        <v>19</v>
      </c>
      <c r="U77" s="78">
        <f t="shared" si="29"/>
        <v>19</v>
      </c>
      <c r="V77" s="19">
        <v>0</v>
      </c>
      <c r="W77" s="3">
        <v>0</v>
      </c>
      <c r="X77" s="3">
        <v>59.29</v>
      </c>
      <c r="Y77" s="11">
        <v>0</v>
      </c>
      <c r="Z77" s="88">
        <v>20</v>
      </c>
      <c r="AA77" s="78">
        <v>20</v>
      </c>
      <c r="AB77" s="19">
        <v>4</v>
      </c>
      <c r="AC77" s="3">
        <v>18</v>
      </c>
      <c r="AD77" s="3">
        <v>91.03</v>
      </c>
      <c r="AE77" s="3">
        <v>0</v>
      </c>
      <c r="AF77" s="3">
        <v>0</v>
      </c>
      <c r="AG77" s="3">
        <v>22</v>
      </c>
      <c r="AH77" s="11">
        <v>22</v>
      </c>
      <c r="AI77" s="88">
        <v>21</v>
      </c>
      <c r="AJ77" s="78">
        <v>15</v>
      </c>
      <c r="AK77" s="19">
        <v>8</v>
      </c>
      <c r="AL77" s="3">
        <v>3</v>
      </c>
      <c r="AM77" s="3">
        <v>77.69</v>
      </c>
      <c r="AN77" s="3">
        <v>0</v>
      </c>
      <c r="AO77" s="3">
        <v>0</v>
      </c>
      <c r="AP77" s="3">
        <v>11</v>
      </c>
      <c r="AQ77" s="11">
        <v>11</v>
      </c>
      <c r="AR77" s="88">
        <v>0</v>
      </c>
      <c r="AS77" s="78"/>
      <c r="AT77" s="19"/>
      <c r="AU77" s="3"/>
      <c r="AV77" s="3"/>
      <c r="AW77" s="11"/>
      <c r="AX77" s="88"/>
      <c r="AY77" s="78"/>
      <c r="AZ77" s="19">
        <v>0</v>
      </c>
      <c r="BA77" s="3">
        <v>0</v>
      </c>
      <c r="BB77" s="3">
        <v>79.37</v>
      </c>
      <c r="BC77" s="11">
        <v>0</v>
      </c>
      <c r="BD77" s="88">
        <v>18</v>
      </c>
      <c r="BE77" s="78">
        <f>BD77</f>
        <v>18</v>
      </c>
      <c r="BF77" s="302" t="s">
        <v>491</v>
      </c>
      <c r="BG77" t="str">
        <f t="shared" si="28"/>
        <v>ShaeTweddleQuick TimeSecondary &gt;990</v>
      </c>
    </row>
    <row r="78" spans="1:59">
      <c r="A78" s="3" t="s">
        <v>136</v>
      </c>
      <c r="B78" s="3" t="s">
        <v>122</v>
      </c>
      <c r="C78" s="221" t="s">
        <v>111</v>
      </c>
      <c r="D78" s="202" t="s">
        <v>137</v>
      </c>
      <c r="E78" s="4"/>
      <c r="F78" s="88">
        <f t="shared" si="30"/>
        <v>0</v>
      </c>
      <c r="G78" s="78"/>
      <c r="H78" s="19"/>
      <c r="I78" s="3"/>
      <c r="J78" s="3"/>
      <c r="K78" s="11"/>
      <c r="L78" s="88"/>
      <c r="M78" s="78"/>
      <c r="N78" s="19"/>
      <c r="O78" s="3"/>
      <c r="P78" s="3"/>
      <c r="Q78" s="3"/>
      <c r="R78" s="3"/>
      <c r="S78" s="11" t="str">
        <f t="shared" si="26"/>
        <v/>
      </c>
      <c r="T78" s="88"/>
      <c r="U78" s="78" t="str">
        <f t="shared" si="29"/>
        <v/>
      </c>
      <c r="V78" s="19"/>
      <c r="W78" s="3"/>
      <c r="X78" s="3"/>
      <c r="Y78" s="11"/>
      <c r="Z78" s="88"/>
      <c r="AA78" s="78"/>
      <c r="AB78" s="19">
        <v>0</v>
      </c>
      <c r="AC78" s="3">
        <v>0</v>
      </c>
      <c r="AD78" s="3">
        <v>0</v>
      </c>
      <c r="AE78" s="3">
        <v>0</v>
      </c>
      <c r="AF78" s="3">
        <v>0</v>
      </c>
      <c r="AG78" s="3">
        <v>0</v>
      </c>
      <c r="AH78" s="11">
        <v>0</v>
      </c>
      <c r="AI78" s="88">
        <v>0</v>
      </c>
      <c r="AJ78" s="78"/>
      <c r="AK78" s="19">
        <v>0</v>
      </c>
      <c r="AL78" s="3">
        <v>0</v>
      </c>
      <c r="AM78" s="3">
        <v>0</v>
      </c>
      <c r="AN78" s="3">
        <v>0</v>
      </c>
      <c r="AO78" s="3">
        <v>0</v>
      </c>
      <c r="AP78" s="3">
        <v>0</v>
      </c>
      <c r="AQ78" s="11">
        <v>0</v>
      </c>
      <c r="AR78" s="88">
        <v>0</v>
      </c>
      <c r="AS78" s="78"/>
      <c r="AT78" s="19"/>
      <c r="AU78" s="3"/>
      <c r="AV78" s="3"/>
      <c r="AW78" s="11"/>
      <c r="AX78" s="88"/>
      <c r="AY78" s="78"/>
      <c r="AZ78" s="19"/>
      <c r="BA78" s="3"/>
      <c r="BB78" s="3"/>
      <c r="BC78" s="11"/>
      <c r="BD78" s="88"/>
      <c r="BE78" s="78"/>
      <c r="BF78" s="302" t="s">
        <v>491</v>
      </c>
      <c r="BG78" t="str">
        <f t="shared" si="28"/>
        <v>ShilohBerdenElm Tree RoosevetSecondary &gt;990</v>
      </c>
    </row>
    <row r="79" spans="1:59">
      <c r="A79" s="202" t="s">
        <v>121</v>
      </c>
      <c r="B79" s="202" t="s">
        <v>122</v>
      </c>
      <c r="C79" s="202" t="s">
        <v>111</v>
      </c>
      <c r="D79" s="202" t="s">
        <v>477</v>
      </c>
      <c r="E79" s="384"/>
      <c r="F79" s="88">
        <f t="shared" si="30"/>
        <v>0</v>
      </c>
      <c r="G79" s="78"/>
      <c r="H79" s="19"/>
      <c r="I79" s="3"/>
      <c r="J79" s="3"/>
      <c r="K79" s="11"/>
      <c r="L79" s="88"/>
      <c r="M79" s="78"/>
      <c r="N79" s="19"/>
      <c r="O79" s="3"/>
      <c r="P79" s="3"/>
      <c r="Q79" s="3"/>
      <c r="R79" s="3"/>
      <c r="S79" s="11" t="str">
        <f t="shared" ref="S79:S81" si="31">IF(N79=0,"",N79)</f>
        <v/>
      </c>
      <c r="T79" s="88"/>
      <c r="U79" s="78" t="str">
        <f t="shared" ref="U79:U81" si="32">IF(T79="","",T79)</f>
        <v/>
      </c>
      <c r="V79" s="19"/>
      <c r="W79" s="3"/>
      <c r="X79" s="3"/>
      <c r="Y79" s="11"/>
      <c r="Z79" s="88"/>
      <c r="AA79" s="78"/>
      <c r="AB79" s="19">
        <v>0</v>
      </c>
      <c r="AC79" s="3">
        <v>0</v>
      </c>
      <c r="AD79" s="3">
        <v>0</v>
      </c>
      <c r="AE79" s="3">
        <v>0</v>
      </c>
      <c r="AF79" s="3">
        <v>0</v>
      </c>
      <c r="AG79" s="3">
        <v>0</v>
      </c>
      <c r="AH79" s="11">
        <v>0</v>
      </c>
      <c r="AI79" s="88">
        <v>0</v>
      </c>
      <c r="AJ79" s="78"/>
      <c r="AK79" s="19">
        <v>0</v>
      </c>
      <c r="AL79" s="3">
        <v>0</v>
      </c>
      <c r="AM79" s="3">
        <v>0</v>
      </c>
      <c r="AN79" s="3">
        <v>0</v>
      </c>
      <c r="AO79" s="3">
        <v>0</v>
      </c>
      <c r="AP79" s="3">
        <v>0</v>
      </c>
      <c r="AQ79" s="11">
        <v>0</v>
      </c>
      <c r="AR79" s="88">
        <v>0</v>
      </c>
      <c r="AS79" s="78"/>
      <c r="AT79" s="19"/>
      <c r="AU79" s="3"/>
      <c r="AV79" s="3"/>
      <c r="AW79" s="11"/>
      <c r="AX79" s="88"/>
      <c r="AY79" s="78"/>
      <c r="AZ79" s="19"/>
      <c r="BA79" s="3"/>
      <c r="BB79" s="3"/>
      <c r="BC79" s="11"/>
      <c r="BD79" s="88"/>
      <c r="BE79" s="78"/>
      <c r="BF79" s="302" t="s">
        <v>491</v>
      </c>
      <c r="BG79" t="str">
        <f t="shared" si="28"/>
        <v>IndyBerdenMcCartney Park Balou du BlingSecondary &gt;990</v>
      </c>
    </row>
    <row r="80" spans="1:59">
      <c r="A80" s="2"/>
      <c r="B80" s="2"/>
      <c r="C80" s="202"/>
      <c r="D80" s="2"/>
      <c r="E80" s="384"/>
      <c r="F80" s="88">
        <f t="shared" si="30"/>
        <v>0</v>
      </c>
      <c r="G80" s="78"/>
      <c r="H80" s="19"/>
      <c r="I80" s="3"/>
      <c r="J80" s="3"/>
      <c r="K80" s="11"/>
      <c r="L80" s="88"/>
      <c r="M80" s="78"/>
      <c r="N80" s="19"/>
      <c r="O80" s="3"/>
      <c r="P80" s="3"/>
      <c r="Q80" s="3"/>
      <c r="R80" s="3"/>
      <c r="S80" s="11" t="str">
        <f t="shared" si="31"/>
        <v/>
      </c>
      <c r="T80" s="88"/>
      <c r="U80" s="78" t="str">
        <f t="shared" si="32"/>
        <v/>
      </c>
      <c r="V80" s="19"/>
      <c r="W80" s="3"/>
      <c r="X80" s="3"/>
      <c r="Y80" s="11"/>
      <c r="Z80" s="88"/>
      <c r="AA80" s="78"/>
      <c r="AB80" s="19"/>
      <c r="AC80" s="3"/>
      <c r="AD80" s="3"/>
      <c r="AE80" s="3"/>
      <c r="AF80" s="3"/>
      <c r="AG80" s="3"/>
      <c r="AH80" s="11"/>
      <c r="AI80" s="88"/>
      <c r="AJ80" s="78"/>
      <c r="AK80" s="19"/>
      <c r="AL80" s="3"/>
      <c r="AM80" s="3"/>
      <c r="AN80" s="3"/>
      <c r="AO80" s="3"/>
      <c r="AP80" s="3"/>
      <c r="AQ80" s="11"/>
      <c r="AR80" s="88"/>
      <c r="AS80" s="78"/>
      <c r="AT80" s="19"/>
      <c r="AU80" s="3"/>
      <c r="AV80" s="3"/>
      <c r="AW80" s="11"/>
      <c r="AX80" s="88"/>
      <c r="AY80" s="78"/>
      <c r="AZ80" s="19"/>
      <c r="BA80" s="3"/>
      <c r="BB80" s="3"/>
      <c r="BC80" s="11"/>
      <c r="BD80" s="88"/>
      <c r="BE80" s="78"/>
      <c r="BF80" s="302" t="s">
        <v>491</v>
      </c>
    </row>
    <row r="81" spans="1:59" ht="16.5" thickBot="1">
      <c r="A81" s="2"/>
      <c r="B81" s="2"/>
      <c r="C81" s="202"/>
      <c r="D81" s="2"/>
      <c r="E81" s="384"/>
      <c r="F81" s="90">
        <f>L81+T81+Z81+AI81+AR81+AX81+BD81</f>
        <v>0</v>
      </c>
      <c r="G81" s="86"/>
      <c r="H81" s="19"/>
      <c r="I81" s="3"/>
      <c r="J81" s="3"/>
      <c r="K81" s="11"/>
      <c r="L81" s="90"/>
      <c r="M81" s="86"/>
      <c r="N81" s="19"/>
      <c r="O81" s="3"/>
      <c r="P81" s="3"/>
      <c r="Q81" s="3"/>
      <c r="R81" s="3"/>
      <c r="S81" s="11" t="str">
        <f t="shared" si="31"/>
        <v/>
      </c>
      <c r="T81" s="90"/>
      <c r="U81" s="86" t="str">
        <f t="shared" si="32"/>
        <v/>
      </c>
      <c r="V81" s="19"/>
      <c r="W81" s="3"/>
      <c r="X81" s="3"/>
      <c r="Y81" s="11"/>
      <c r="Z81" s="90"/>
      <c r="AA81" s="86"/>
      <c r="AB81" s="19"/>
      <c r="AC81" s="3"/>
      <c r="AD81" s="3"/>
      <c r="AE81" s="3"/>
      <c r="AF81" s="3"/>
      <c r="AG81" s="3"/>
      <c r="AH81" s="11"/>
      <c r="AI81" s="90"/>
      <c r="AJ81" s="86"/>
      <c r="AK81" s="19"/>
      <c r="AL81" s="3"/>
      <c r="AM81" s="3"/>
      <c r="AN81" s="3"/>
      <c r="AO81" s="3"/>
      <c r="AP81" s="3"/>
      <c r="AQ81" s="11"/>
      <c r="AR81" s="90"/>
      <c r="AS81" s="86"/>
      <c r="AT81" s="19"/>
      <c r="AU81" s="3"/>
      <c r="AV81" s="3"/>
      <c r="AW81" s="11"/>
      <c r="AX81" s="90"/>
      <c r="AY81" s="86"/>
      <c r="AZ81" s="19"/>
      <c r="BA81" s="3"/>
      <c r="BB81" s="3"/>
      <c r="BC81" s="11"/>
      <c r="BD81" s="90"/>
      <c r="BE81" s="86"/>
      <c r="BF81" s="302" t="s">
        <v>491</v>
      </c>
    </row>
    <row r="82" spans="1:59" s="183" customFormat="1" ht="13.5" thickBot="1"/>
    <row r="83" spans="1:59" ht="24" thickBot="1">
      <c r="A83" s="7"/>
      <c r="B83" s="7"/>
      <c r="C83" s="7"/>
      <c r="D83" s="7"/>
      <c r="E83" s="7"/>
      <c r="H83" s="410" t="s">
        <v>1</v>
      </c>
      <c r="I83" s="411"/>
      <c r="J83" s="411"/>
      <c r="K83" s="411"/>
      <c r="L83" s="411"/>
      <c r="M83" s="412"/>
      <c r="N83" s="399" t="s">
        <v>2</v>
      </c>
      <c r="O83" s="400"/>
      <c r="P83" s="400"/>
      <c r="Q83" s="400"/>
      <c r="R83" s="400"/>
      <c r="S83" s="400"/>
      <c r="T83" s="400"/>
      <c r="U83" s="401"/>
      <c r="V83" s="402" t="s">
        <v>3</v>
      </c>
      <c r="W83" s="403"/>
      <c r="X83" s="403"/>
      <c r="Y83" s="403"/>
      <c r="Z83" s="403"/>
      <c r="AA83" s="404"/>
      <c r="AB83" s="390" t="s">
        <v>4</v>
      </c>
      <c r="AC83" s="391"/>
      <c r="AD83" s="391"/>
      <c r="AE83" s="391"/>
      <c r="AF83" s="391"/>
      <c r="AG83" s="391"/>
      <c r="AH83" s="391"/>
      <c r="AI83" s="391"/>
      <c r="AJ83" s="392"/>
      <c r="AK83" s="393" t="s">
        <v>5</v>
      </c>
      <c r="AL83" s="394"/>
      <c r="AM83" s="394"/>
      <c r="AN83" s="394"/>
      <c r="AO83" s="394"/>
      <c r="AP83" s="394"/>
      <c r="AQ83" s="394"/>
      <c r="AR83" s="394"/>
      <c r="AS83" s="395"/>
      <c r="AT83" s="396" t="s">
        <v>6</v>
      </c>
      <c r="AU83" s="397"/>
      <c r="AV83" s="397"/>
      <c r="AW83" s="397"/>
      <c r="AX83" s="397"/>
      <c r="AY83" s="398"/>
      <c r="AZ83" s="405" t="s">
        <v>7</v>
      </c>
      <c r="BA83" s="406"/>
      <c r="BB83" s="406"/>
      <c r="BC83" s="406"/>
      <c r="BD83" s="406"/>
      <c r="BE83" s="407"/>
    </row>
    <row r="84" spans="1:59" s="43" customFormat="1" ht="63">
      <c r="A84" s="416" t="s">
        <v>138</v>
      </c>
      <c r="B84" s="409"/>
      <c r="C84" s="409"/>
      <c r="D84" s="409"/>
      <c r="E84" s="409"/>
      <c r="F84" s="117" t="s">
        <v>9</v>
      </c>
      <c r="G84" s="51" t="s">
        <v>10</v>
      </c>
      <c r="H84" s="47" t="s">
        <v>11</v>
      </c>
      <c r="I84" s="41" t="s">
        <v>12</v>
      </c>
      <c r="J84" s="42" t="s">
        <v>13</v>
      </c>
      <c r="K84" s="48" t="s">
        <v>14</v>
      </c>
      <c r="L84" s="102" t="s">
        <v>15</v>
      </c>
      <c r="M84" s="51" t="s">
        <v>16</v>
      </c>
      <c r="N84" s="59" t="s">
        <v>11</v>
      </c>
      <c r="O84" s="55" t="s">
        <v>17</v>
      </c>
      <c r="P84" s="61" t="s">
        <v>18</v>
      </c>
      <c r="Q84" s="55" t="s">
        <v>19</v>
      </c>
      <c r="R84" s="39" t="s">
        <v>466</v>
      </c>
      <c r="S84" s="37" t="s">
        <v>14</v>
      </c>
      <c r="T84" s="97" t="s">
        <v>15</v>
      </c>
      <c r="U84" s="51" t="s">
        <v>16</v>
      </c>
      <c r="V84" s="47" t="s">
        <v>11</v>
      </c>
      <c r="W84" s="41" t="s">
        <v>12</v>
      </c>
      <c r="X84" s="42" t="s">
        <v>13</v>
      </c>
      <c r="Y84" s="48" t="s">
        <v>14</v>
      </c>
      <c r="Z84" s="97" t="s">
        <v>15</v>
      </c>
      <c r="AA84" s="51" t="s">
        <v>16</v>
      </c>
      <c r="AB84" s="274" t="s">
        <v>483</v>
      </c>
      <c r="AC84" s="188" t="s">
        <v>484</v>
      </c>
      <c r="AD84" s="275" t="s">
        <v>485</v>
      </c>
      <c r="AE84" s="276" t="s">
        <v>486</v>
      </c>
      <c r="AF84" s="277" t="s">
        <v>487</v>
      </c>
      <c r="AG84" s="246" t="s">
        <v>488</v>
      </c>
      <c r="AH84" s="246" t="s">
        <v>489</v>
      </c>
      <c r="AI84" s="102" t="s">
        <v>15</v>
      </c>
      <c r="AJ84" s="51" t="s">
        <v>16</v>
      </c>
      <c r="AK84" s="274" t="s">
        <v>483</v>
      </c>
      <c r="AL84" s="188" t="s">
        <v>484</v>
      </c>
      <c r="AM84" s="275" t="s">
        <v>485</v>
      </c>
      <c r="AN84" s="276" t="s">
        <v>486</v>
      </c>
      <c r="AO84" s="277" t="s">
        <v>487</v>
      </c>
      <c r="AP84" s="246" t="s">
        <v>488</v>
      </c>
      <c r="AQ84" s="246" t="s">
        <v>489</v>
      </c>
      <c r="AR84" s="97" t="s">
        <v>15</v>
      </c>
      <c r="AS84" s="51" t="s">
        <v>16</v>
      </c>
      <c r="AT84" s="47" t="s">
        <v>11</v>
      </c>
      <c r="AU84" s="297" t="s">
        <v>513</v>
      </c>
      <c r="AV84" s="41" t="s">
        <v>21</v>
      </c>
      <c r="AW84" s="42" t="s">
        <v>14</v>
      </c>
      <c r="AX84" s="97" t="s">
        <v>15</v>
      </c>
      <c r="AY84" s="51" t="s">
        <v>16</v>
      </c>
      <c r="AZ84" s="59" t="s">
        <v>11</v>
      </c>
      <c r="BA84" s="297" t="s">
        <v>513</v>
      </c>
      <c r="BB84" s="56" t="s">
        <v>21</v>
      </c>
      <c r="BC84" s="62" t="s">
        <v>14</v>
      </c>
      <c r="BD84" s="97" t="s">
        <v>15</v>
      </c>
      <c r="BE84" s="51" t="s">
        <v>16</v>
      </c>
      <c r="BF84" s="43">
        <v>100</v>
      </c>
    </row>
    <row r="85" spans="1:59">
      <c r="A85" s="1" t="s">
        <v>22</v>
      </c>
      <c r="B85" s="1" t="s">
        <v>23</v>
      </c>
      <c r="C85" s="4" t="s">
        <v>24</v>
      </c>
      <c r="D85" s="4" t="s">
        <v>25</v>
      </c>
      <c r="E85" s="4" t="s">
        <v>26</v>
      </c>
      <c r="F85" s="88"/>
      <c r="G85" s="78"/>
      <c r="H85" s="19"/>
      <c r="I85" s="3"/>
      <c r="J85" s="3"/>
      <c r="K85" s="11"/>
      <c r="L85" s="111"/>
      <c r="M85" s="78"/>
      <c r="N85" s="19"/>
      <c r="O85" s="3"/>
      <c r="P85" s="3"/>
      <c r="Q85" s="3"/>
      <c r="R85" s="11"/>
      <c r="S85" s="11" t="str">
        <f t="shared" ref="S85:S95" si="33">IF(N85=0,"",N85)</f>
        <v/>
      </c>
      <c r="T85" s="88"/>
      <c r="U85" s="78" t="str">
        <f t="shared" ref="U85:U95" si="34">IF(T85="","",T85)</f>
        <v/>
      </c>
      <c r="V85" s="19"/>
      <c r="W85" s="3"/>
      <c r="X85" s="3"/>
      <c r="Y85" s="11"/>
      <c r="Z85" s="88"/>
      <c r="AA85" s="78"/>
      <c r="AB85" s="19"/>
      <c r="AC85" s="3"/>
      <c r="AD85" s="3"/>
      <c r="AE85" s="3"/>
      <c r="AF85" s="3"/>
      <c r="AG85" s="3"/>
      <c r="AH85" s="3"/>
      <c r="AI85" s="111"/>
      <c r="AJ85" s="78"/>
      <c r="AK85" s="19"/>
      <c r="AL85" s="3"/>
      <c r="AM85" s="3"/>
      <c r="AN85" s="3"/>
      <c r="AO85" s="3"/>
      <c r="AP85" s="3"/>
      <c r="AQ85" s="3"/>
      <c r="AR85" s="387"/>
      <c r="AS85" s="78"/>
      <c r="AT85" s="19"/>
      <c r="AU85" s="19"/>
      <c r="AV85" s="3"/>
      <c r="AW85" s="3"/>
      <c r="AX85" s="88"/>
      <c r="AY85" s="78"/>
      <c r="AZ85" s="19"/>
      <c r="BA85" s="19"/>
      <c r="BB85" s="3"/>
      <c r="BC85" s="3"/>
      <c r="BD85" s="88"/>
      <c r="BE85" s="78"/>
      <c r="BF85" s="279" t="s">
        <v>491</v>
      </c>
      <c r="BG85" t="str">
        <f>A85&amp;B85&amp;D85&amp;BF85&amp;$BF$84</f>
        <v>Rider First NameRider Last NameName of Pony/HorseSecondary &gt;9100</v>
      </c>
    </row>
    <row r="86" spans="1:59">
      <c r="A86" s="3" t="s">
        <v>139</v>
      </c>
      <c r="B86" s="3" t="s">
        <v>140</v>
      </c>
      <c r="C86" s="202" t="s">
        <v>63</v>
      </c>
      <c r="D86" s="3" t="s">
        <v>141</v>
      </c>
      <c r="E86" s="205">
        <v>11</v>
      </c>
      <c r="F86" s="88">
        <f>SUM(T86,Z86,AI86,AR86,AX86,BD86,L86)</f>
        <v>0</v>
      </c>
      <c r="G86" s="78"/>
      <c r="H86" s="19"/>
      <c r="I86" s="3"/>
      <c r="J86" s="3"/>
      <c r="K86" s="11"/>
      <c r="L86" s="111"/>
      <c r="M86" s="78"/>
      <c r="N86" s="19"/>
      <c r="O86" s="3"/>
      <c r="P86" s="3"/>
      <c r="Q86" s="3"/>
      <c r="R86" s="11"/>
      <c r="S86" s="11" t="str">
        <f t="shared" si="33"/>
        <v/>
      </c>
      <c r="T86" s="88"/>
      <c r="U86" s="78" t="str">
        <f t="shared" ref="U86:U94" si="35">IF(T86="","",T86)</f>
        <v/>
      </c>
      <c r="V86" s="19"/>
      <c r="W86" s="3"/>
      <c r="X86" s="3"/>
      <c r="Y86" s="11"/>
      <c r="Z86" s="88"/>
      <c r="AA86" s="78"/>
      <c r="AB86" s="19">
        <v>0</v>
      </c>
      <c r="AC86" s="19">
        <v>0</v>
      </c>
      <c r="AD86" s="19">
        <v>0</v>
      </c>
      <c r="AE86" s="19">
        <v>0</v>
      </c>
      <c r="AF86" s="19">
        <v>0</v>
      </c>
      <c r="AG86" s="19">
        <v>0</v>
      </c>
      <c r="AH86" s="19">
        <v>0</v>
      </c>
      <c r="AI86" s="111"/>
      <c r="AJ86" s="78"/>
      <c r="AK86" s="19">
        <v>0</v>
      </c>
      <c r="AL86" s="19">
        <v>0</v>
      </c>
      <c r="AM86" s="19">
        <v>0</v>
      </c>
      <c r="AN86" s="3">
        <v>0</v>
      </c>
      <c r="AO86" s="3">
        <v>0</v>
      </c>
      <c r="AP86" s="3">
        <v>0</v>
      </c>
      <c r="AQ86" s="3">
        <v>0</v>
      </c>
      <c r="AR86" s="387">
        <v>0</v>
      </c>
      <c r="AS86" s="78"/>
      <c r="AT86" s="19"/>
      <c r="AU86" s="19"/>
      <c r="AV86" s="3"/>
      <c r="AW86" s="3"/>
      <c r="AX86" s="88"/>
      <c r="AY86" s="78"/>
      <c r="AZ86" s="19"/>
      <c r="BA86" s="19"/>
      <c r="BB86" s="3"/>
      <c r="BC86" s="3"/>
      <c r="BD86" s="88"/>
      <c r="BE86" s="78"/>
      <c r="BF86" s="279" t="s">
        <v>491</v>
      </c>
      <c r="BG86" t="str">
        <f t="shared" ref="BG86:BG94" si="36">A86&amp;B86&amp;D86&amp;BF86&amp;$BF$84</f>
        <v>EllaBeisselFictionSecondary &gt;9100</v>
      </c>
    </row>
    <row r="87" spans="1:59">
      <c r="A87" s="3" t="s">
        <v>117</v>
      </c>
      <c r="B87" t="s">
        <v>118</v>
      </c>
      <c r="C87" s="202" t="s">
        <v>119</v>
      </c>
      <c r="D87" s="202" t="s">
        <v>120</v>
      </c>
      <c r="E87" s="5"/>
      <c r="F87" s="88">
        <f t="shared" ref="F87:F93" si="37">SUM(T87,Z87,AI87,AR87,AX87,BD87,L87)</f>
        <v>0</v>
      </c>
      <c r="G87" s="78"/>
      <c r="H87" s="19"/>
      <c r="I87" s="3"/>
      <c r="J87" s="3"/>
      <c r="K87" s="11"/>
      <c r="L87" s="111"/>
      <c r="M87" s="78"/>
      <c r="N87" s="129"/>
      <c r="O87" s="3"/>
      <c r="P87" s="3"/>
      <c r="Q87" s="3"/>
      <c r="R87" s="11"/>
      <c r="S87" s="11" t="str">
        <f t="shared" si="33"/>
        <v/>
      </c>
      <c r="T87" s="88"/>
      <c r="U87" s="78" t="str">
        <f t="shared" si="35"/>
        <v/>
      </c>
      <c r="V87" s="19"/>
      <c r="W87" s="3"/>
      <c r="X87" s="3"/>
      <c r="Y87" s="11"/>
      <c r="Z87" s="88"/>
      <c r="AA87" s="78"/>
      <c r="AB87" s="19">
        <v>0</v>
      </c>
      <c r="AC87" s="19">
        <v>0</v>
      </c>
      <c r="AD87" s="19">
        <v>0</v>
      </c>
      <c r="AE87" s="19">
        <v>0</v>
      </c>
      <c r="AF87" s="19">
        <v>0</v>
      </c>
      <c r="AG87" s="19">
        <v>0</v>
      </c>
      <c r="AH87" s="19">
        <v>0</v>
      </c>
      <c r="AI87" s="111"/>
      <c r="AJ87" s="78"/>
      <c r="AK87" s="19">
        <v>0</v>
      </c>
      <c r="AL87" s="19">
        <v>0</v>
      </c>
      <c r="AM87" s="19">
        <v>0</v>
      </c>
      <c r="AN87" s="3">
        <v>0</v>
      </c>
      <c r="AO87" s="3">
        <v>0</v>
      </c>
      <c r="AP87" s="3">
        <v>0</v>
      </c>
      <c r="AQ87" s="3">
        <v>0</v>
      </c>
      <c r="AR87" s="387">
        <v>0</v>
      </c>
      <c r="AS87" s="78"/>
      <c r="AT87" s="129"/>
      <c r="AU87" s="129"/>
      <c r="AV87" s="3"/>
      <c r="AW87" s="3"/>
      <c r="AX87" s="88"/>
      <c r="AY87" s="78"/>
      <c r="AZ87" s="19"/>
      <c r="BA87" s="19"/>
      <c r="BB87" s="3"/>
      <c r="BC87" s="3"/>
      <c r="BD87" s="88"/>
      <c r="BE87" s="78"/>
      <c r="BF87" s="279" t="s">
        <v>491</v>
      </c>
      <c r="BG87" t="str">
        <f t="shared" si="36"/>
        <v>HaileyArnoldWyoming LassSecondary &gt;9100</v>
      </c>
    </row>
    <row r="88" spans="1:59">
      <c r="A88" s="3" t="s">
        <v>121</v>
      </c>
      <c r="B88" s="3" t="s">
        <v>122</v>
      </c>
      <c r="C88" s="212" t="s">
        <v>111</v>
      </c>
      <c r="D88" s="202" t="s">
        <v>142</v>
      </c>
      <c r="E88" s="205">
        <v>12</v>
      </c>
      <c r="F88" s="88">
        <f>SUM(T88,Z88,AI88,AR88,AX88,BD88,L88)</f>
        <v>39</v>
      </c>
      <c r="G88" s="78">
        <f>SUM(M88,AY88)</f>
        <v>39</v>
      </c>
      <c r="H88" s="19">
        <v>4</v>
      </c>
      <c r="I88" s="3">
        <v>0</v>
      </c>
      <c r="J88" s="3">
        <v>67.27</v>
      </c>
      <c r="K88" s="11">
        <v>4</v>
      </c>
      <c r="L88" s="111">
        <v>19</v>
      </c>
      <c r="M88" s="78">
        <v>19</v>
      </c>
      <c r="N88" s="129"/>
      <c r="O88" s="3"/>
      <c r="P88" s="130"/>
      <c r="Q88" s="3"/>
      <c r="R88" s="11"/>
      <c r="S88" s="11" t="str">
        <f t="shared" si="33"/>
        <v/>
      </c>
      <c r="T88" s="88"/>
      <c r="U88" s="78" t="str">
        <f t="shared" si="35"/>
        <v/>
      </c>
      <c r="V88" s="19"/>
      <c r="W88" s="3"/>
      <c r="X88" s="3"/>
      <c r="Y88" s="11"/>
      <c r="Z88" s="88"/>
      <c r="AA88" s="78"/>
      <c r="AB88" s="19">
        <v>0</v>
      </c>
      <c r="AC88" s="19">
        <v>0</v>
      </c>
      <c r="AD88" s="19">
        <v>0</v>
      </c>
      <c r="AE88" s="19">
        <v>0</v>
      </c>
      <c r="AF88" s="19">
        <v>0</v>
      </c>
      <c r="AG88" s="19">
        <v>0</v>
      </c>
      <c r="AH88" s="19">
        <v>0</v>
      </c>
      <c r="AI88" s="111"/>
      <c r="AJ88" s="78"/>
      <c r="AK88" s="19">
        <v>0</v>
      </c>
      <c r="AL88" s="19">
        <v>0</v>
      </c>
      <c r="AM88" s="19">
        <v>0</v>
      </c>
      <c r="AN88" s="3">
        <v>0</v>
      </c>
      <c r="AO88" s="3">
        <v>0</v>
      </c>
      <c r="AP88" s="3">
        <v>0</v>
      </c>
      <c r="AQ88" s="3">
        <v>0</v>
      </c>
      <c r="AR88" s="387">
        <v>0</v>
      </c>
      <c r="AS88" s="78"/>
      <c r="AT88" s="129">
        <v>0</v>
      </c>
      <c r="AU88" s="129">
        <v>0</v>
      </c>
      <c r="AV88" s="3">
        <v>55.47</v>
      </c>
      <c r="AW88" s="3">
        <v>0</v>
      </c>
      <c r="AX88" s="88">
        <v>20</v>
      </c>
      <c r="AY88" s="78">
        <v>20</v>
      </c>
      <c r="AZ88" s="19"/>
      <c r="BA88" s="19"/>
      <c r="BB88" s="130"/>
      <c r="BC88" s="3"/>
      <c r="BD88" s="88"/>
      <c r="BE88" s="78"/>
      <c r="BF88" s="279" t="s">
        <v>491</v>
      </c>
      <c r="BG88" t="str">
        <f t="shared" si="36"/>
        <v>IndyBerdenEV DocettaSecondary &gt;9100</v>
      </c>
    </row>
    <row r="89" spans="1:59">
      <c r="A89" s="3" t="s">
        <v>121</v>
      </c>
      <c r="B89" s="3" t="s">
        <v>122</v>
      </c>
      <c r="C89" s="202" t="s">
        <v>111</v>
      </c>
      <c r="D89" s="202" t="s">
        <v>124</v>
      </c>
      <c r="E89" s="171"/>
      <c r="F89" s="88">
        <f t="shared" si="37"/>
        <v>0</v>
      </c>
      <c r="G89" s="78"/>
      <c r="H89" s="19"/>
      <c r="I89" s="3"/>
      <c r="J89" s="3"/>
      <c r="K89" s="11"/>
      <c r="L89" s="111"/>
      <c r="M89" s="78"/>
      <c r="N89" s="19"/>
      <c r="O89" s="3"/>
      <c r="P89" s="3"/>
      <c r="Q89" s="3"/>
      <c r="R89" s="11"/>
      <c r="S89" s="11" t="str">
        <f t="shared" si="33"/>
        <v/>
      </c>
      <c r="T89" s="88"/>
      <c r="U89" s="78" t="str">
        <f t="shared" si="35"/>
        <v/>
      </c>
      <c r="V89" s="19"/>
      <c r="W89" s="3"/>
      <c r="X89" s="3"/>
      <c r="Y89" s="11"/>
      <c r="Z89" s="88"/>
      <c r="AA89" s="78"/>
      <c r="AB89" s="19">
        <v>0</v>
      </c>
      <c r="AC89" s="19">
        <v>0</v>
      </c>
      <c r="AD89" s="19">
        <v>0</v>
      </c>
      <c r="AE89" s="19">
        <v>0</v>
      </c>
      <c r="AF89" s="19">
        <v>0</v>
      </c>
      <c r="AG89" s="19">
        <v>0</v>
      </c>
      <c r="AH89" s="19">
        <v>0</v>
      </c>
      <c r="AI89" s="88"/>
      <c r="AJ89" s="78"/>
      <c r="AK89" s="19" t="s">
        <v>495</v>
      </c>
      <c r="AL89" s="19">
        <v>0</v>
      </c>
      <c r="AM89" s="19">
        <v>0</v>
      </c>
      <c r="AN89" s="3">
        <v>0</v>
      </c>
      <c r="AO89" s="3">
        <v>0</v>
      </c>
      <c r="AP89" s="3">
        <v>0</v>
      </c>
      <c r="AQ89" s="3">
        <v>0</v>
      </c>
      <c r="AR89" s="387">
        <v>0</v>
      </c>
      <c r="AS89" s="78"/>
      <c r="AT89" s="19"/>
      <c r="AU89" s="19"/>
      <c r="AV89" s="3"/>
      <c r="AW89" s="3"/>
      <c r="AX89" s="155"/>
      <c r="AY89" s="162"/>
      <c r="AZ89" s="19"/>
      <c r="BA89" s="19"/>
      <c r="BB89" s="3"/>
      <c r="BC89" s="3"/>
      <c r="BD89" s="155"/>
      <c r="BE89" s="162"/>
      <c r="BF89" s="279" t="s">
        <v>491</v>
      </c>
      <c r="BG89" t="str">
        <f t="shared" si="36"/>
        <v>IndyBerdenMcCartney Park Sugar n SpiceSecondary &gt;9100</v>
      </c>
    </row>
    <row r="90" spans="1:59">
      <c r="A90" s="202" t="s">
        <v>125</v>
      </c>
      <c r="B90" s="202" t="s">
        <v>126</v>
      </c>
      <c r="C90" s="202" t="s">
        <v>127</v>
      </c>
      <c r="D90" s="202" t="s">
        <v>128</v>
      </c>
      <c r="E90" s="5"/>
      <c r="F90" s="88">
        <f t="shared" si="37"/>
        <v>0</v>
      </c>
      <c r="G90" s="78"/>
      <c r="H90" s="19"/>
      <c r="I90" s="3"/>
      <c r="J90" s="3"/>
      <c r="K90" s="11"/>
      <c r="L90" s="111"/>
      <c r="M90" s="78"/>
      <c r="N90" s="19"/>
      <c r="O90" s="3"/>
      <c r="P90" s="3"/>
      <c r="Q90" s="3"/>
      <c r="R90" s="11"/>
      <c r="S90" s="11" t="str">
        <f t="shared" si="33"/>
        <v/>
      </c>
      <c r="T90" s="88"/>
      <c r="U90" s="78" t="str">
        <f t="shared" si="35"/>
        <v/>
      </c>
      <c r="V90" s="19"/>
      <c r="W90" s="3"/>
      <c r="X90" s="3"/>
      <c r="Y90" s="11"/>
      <c r="Z90" s="88"/>
      <c r="AA90" s="78"/>
      <c r="AB90" s="19">
        <v>0</v>
      </c>
      <c r="AC90" s="19">
        <v>0</v>
      </c>
      <c r="AD90" s="19">
        <v>0</v>
      </c>
      <c r="AE90" s="19">
        <v>0</v>
      </c>
      <c r="AF90" s="19">
        <v>0</v>
      </c>
      <c r="AG90" s="19">
        <v>0</v>
      </c>
      <c r="AH90" s="19">
        <v>0</v>
      </c>
      <c r="AI90" s="111"/>
      <c r="AJ90" s="78"/>
      <c r="AK90" s="19">
        <v>0</v>
      </c>
      <c r="AL90" s="19">
        <v>0</v>
      </c>
      <c r="AM90" s="19">
        <v>0</v>
      </c>
      <c r="AN90" s="3">
        <v>0</v>
      </c>
      <c r="AO90" s="3">
        <v>0</v>
      </c>
      <c r="AP90" s="3">
        <v>0</v>
      </c>
      <c r="AQ90" s="3">
        <v>0</v>
      </c>
      <c r="AR90" s="387">
        <v>0</v>
      </c>
      <c r="AS90" s="78"/>
      <c r="AT90" s="19"/>
      <c r="AU90" s="19"/>
      <c r="AV90" s="3"/>
      <c r="AW90" s="3"/>
      <c r="AX90" s="155"/>
      <c r="AY90" s="162"/>
      <c r="AZ90" s="19"/>
      <c r="BA90" s="19"/>
      <c r="BB90" s="3"/>
      <c r="BC90" s="3"/>
      <c r="BD90" s="155"/>
      <c r="BE90" s="162"/>
      <c r="BF90" s="279" t="s">
        <v>491</v>
      </c>
      <c r="BG90" t="str">
        <f t="shared" si="36"/>
        <v>KeelyHutchinsonExmoor Celtic SnowSecondary &gt;9100</v>
      </c>
    </row>
    <row r="91" spans="1:59">
      <c r="A91" s="202" t="s">
        <v>132</v>
      </c>
      <c r="B91" s="212" t="s">
        <v>133</v>
      </c>
      <c r="C91" s="3" t="s">
        <v>134</v>
      </c>
      <c r="D91" s="202" t="s">
        <v>135</v>
      </c>
      <c r="E91" s="5">
        <v>12</v>
      </c>
      <c r="F91" s="88">
        <f t="shared" si="37"/>
        <v>39</v>
      </c>
      <c r="G91" s="78">
        <v>39</v>
      </c>
      <c r="H91" s="19"/>
      <c r="I91" s="3"/>
      <c r="J91" s="3"/>
      <c r="K91" s="11"/>
      <c r="L91" s="111"/>
      <c r="M91" s="78"/>
      <c r="N91" s="19">
        <v>2</v>
      </c>
      <c r="O91" s="3">
        <v>57.57</v>
      </c>
      <c r="P91" s="3" t="s">
        <v>517</v>
      </c>
      <c r="Q91" s="3"/>
      <c r="R91" s="11"/>
      <c r="S91" s="11">
        <f t="shared" si="33"/>
        <v>2</v>
      </c>
      <c r="T91" s="88">
        <v>19</v>
      </c>
      <c r="U91" s="78">
        <v>19</v>
      </c>
      <c r="V91" s="19">
        <v>0</v>
      </c>
      <c r="W91" s="3">
        <v>0</v>
      </c>
      <c r="X91" s="3">
        <v>58.07</v>
      </c>
      <c r="Y91" s="11">
        <v>0</v>
      </c>
      <c r="Z91" s="88">
        <v>20</v>
      </c>
      <c r="AA91" s="78">
        <v>20</v>
      </c>
      <c r="AB91" s="19">
        <v>4</v>
      </c>
      <c r="AC91" s="19">
        <v>6</v>
      </c>
      <c r="AD91" s="19">
        <v>78.44</v>
      </c>
      <c r="AE91" s="19">
        <v>0</v>
      </c>
      <c r="AF91" s="19">
        <v>0</v>
      </c>
      <c r="AG91" s="19">
        <v>10</v>
      </c>
      <c r="AH91" s="19">
        <v>10</v>
      </c>
      <c r="AI91" s="88"/>
      <c r="AJ91" s="78"/>
      <c r="AK91" s="19">
        <v>8</v>
      </c>
      <c r="AL91" s="19">
        <v>3</v>
      </c>
      <c r="AM91" s="19">
        <v>81.680000000000007</v>
      </c>
      <c r="AN91" s="3">
        <v>0</v>
      </c>
      <c r="AO91" s="3">
        <v>0</v>
      </c>
      <c r="AP91" s="3">
        <v>11</v>
      </c>
      <c r="AQ91" s="3">
        <v>11</v>
      </c>
      <c r="AR91" s="387">
        <v>0</v>
      </c>
      <c r="AS91" s="78"/>
      <c r="AT91" s="19"/>
      <c r="AU91" s="19"/>
      <c r="AV91" s="3"/>
      <c r="AW91" s="3"/>
      <c r="AX91" s="88"/>
      <c r="AY91" s="78"/>
      <c r="AZ91" s="19"/>
      <c r="BA91" s="19"/>
      <c r="BB91" s="3"/>
      <c r="BC91" s="3"/>
      <c r="BD91" s="88"/>
      <c r="BE91" s="78"/>
      <c r="BF91" s="279" t="s">
        <v>491</v>
      </c>
      <c r="BG91" t="str">
        <f t="shared" si="36"/>
        <v>ShaeTweddleQuick TimeSecondary &gt;9100</v>
      </c>
    </row>
    <row r="92" spans="1:59">
      <c r="A92" s="3" t="s">
        <v>136</v>
      </c>
      <c r="B92" s="3" t="s">
        <v>122</v>
      </c>
      <c r="C92" s="221" t="s">
        <v>111</v>
      </c>
      <c r="D92" s="202" t="s">
        <v>137</v>
      </c>
      <c r="E92" s="5"/>
      <c r="F92" s="88">
        <f t="shared" si="37"/>
        <v>0</v>
      </c>
      <c r="G92" s="78"/>
      <c r="H92" s="19"/>
      <c r="I92" s="3"/>
      <c r="J92" s="3"/>
      <c r="K92" s="11"/>
      <c r="L92" s="111"/>
      <c r="M92" s="78"/>
      <c r="N92" s="19"/>
      <c r="O92" s="3"/>
      <c r="P92" s="116"/>
      <c r="Q92" s="3"/>
      <c r="R92" s="11"/>
      <c r="S92" s="11" t="str">
        <f t="shared" si="33"/>
        <v/>
      </c>
      <c r="T92" s="88"/>
      <c r="U92" s="78" t="str">
        <f t="shared" si="35"/>
        <v/>
      </c>
      <c r="V92" s="19"/>
      <c r="W92" s="3"/>
      <c r="X92" s="3"/>
      <c r="Y92" s="11"/>
      <c r="Z92" s="88"/>
      <c r="AA92" s="78"/>
      <c r="AB92" s="19">
        <v>0</v>
      </c>
      <c r="AC92" s="19">
        <v>0</v>
      </c>
      <c r="AD92" s="19">
        <v>0</v>
      </c>
      <c r="AE92" s="19">
        <v>0</v>
      </c>
      <c r="AF92" s="19">
        <v>0</v>
      </c>
      <c r="AG92" s="19">
        <v>0</v>
      </c>
      <c r="AH92" s="19">
        <v>0</v>
      </c>
      <c r="AI92" s="111"/>
      <c r="AJ92" s="78"/>
      <c r="AK92" s="19">
        <v>0</v>
      </c>
      <c r="AL92" s="19">
        <v>0</v>
      </c>
      <c r="AM92" s="19">
        <v>0</v>
      </c>
      <c r="AN92" s="3">
        <v>0</v>
      </c>
      <c r="AO92" s="3">
        <v>0</v>
      </c>
      <c r="AP92" s="3">
        <v>0</v>
      </c>
      <c r="AQ92" s="3">
        <v>0</v>
      </c>
      <c r="AR92" s="387">
        <v>0</v>
      </c>
      <c r="AS92" s="78"/>
      <c r="AT92" s="19"/>
      <c r="AU92" s="19"/>
      <c r="AV92" s="3"/>
      <c r="AW92" s="3"/>
      <c r="AX92" s="88"/>
      <c r="AY92" s="78"/>
      <c r="AZ92" s="19"/>
      <c r="BA92" s="19"/>
      <c r="BB92" s="3"/>
      <c r="BC92" s="3"/>
      <c r="BD92" s="88"/>
      <c r="BE92" s="78"/>
      <c r="BF92" s="279" t="s">
        <v>491</v>
      </c>
      <c r="BG92" t="str">
        <f t="shared" si="36"/>
        <v>ShilohBerdenElm Tree RoosevetSecondary &gt;9100</v>
      </c>
    </row>
    <row r="93" spans="1:59">
      <c r="A93" s="14" t="s">
        <v>143</v>
      </c>
      <c r="B93" s="3" t="s">
        <v>144</v>
      </c>
      <c r="C93" s="219" t="s">
        <v>145</v>
      </c>
      <c r="D93" s="219" t="s">
        <v>146</v>
      </c>
      <c r="E93" s="205">
        <v>10</v>
      </c>
      <c r="F93" s="88">
        <f t="shared" si="37"/>
        <v>109</v>
      </c>
      <c r="G93" s="78">
        <f>SUM(AS93,BE93)</f>
        <v>40</v>
      </c>
      <c r="H93" s="19">
        <v>0</v>
      </c>
      <c r="I93" s="3">
        <v>0</v>
      </c>
      <c r="J93" s="3">
        <v>68.37</v>
      </c>
      <c r="K93" s="11">
        <v>0</v>
      </c>
      <c r="L93" s="111">
        <v>20</v>
      </c>
      <c r="M93" s="78">
        <v>20</v>
      </c>
      <c r="N93" s="19">
        <v>0</v>
      </c>
      <c r="O93" s="3">
        <v>54.78</v>
      </c>
      <c r="P93" s="3">
        <v>40.92</v>
      </c>
      <c r="Q93" s="3">
        <v>0</v>
      </c>
      <c r="R93" s="11">
        <v>40.92</v>
      </c>
      <c r="S93" s="11">
        <v>0</v>
      </c>
      <c r="T93" s="88">
        <v>20</v>
      </c>
      <c r="U93" s="78">
        <f t="shared" si="35"/>
        <v>20</v>
      </c>
      <c r="V93" s="19"/>
      <c r="W93" s="3"/>
      <c r="X93" s="3"/>
      <c r="Y93" s="11"/>
      <c r="Z93" s="88"/>
      <c r="AA93" s="78"/>
      <c r="AB93" s="19">
        <v>0</v>
      </c>
      <c r="AC93" s="19">
        <v>0</v>
      </c>
      <c r="AD93" s="19">
        <v>68.44</v>
      </c>
      <c r="AE93" s="19">
        <v>0</v>
      </c>
      <c r="AF93" s="19">
        <v>0</v>
      </c>
      <c r="AG93" s="19">
        <v>0</v>
      </c>
      <c r="AH93" s="19">
        <v>0</v>
      </c>
      <c r="AI93" s="88">
        <v>24</v>
      </c>
      <c r="AJ93" s="78">
        <v>19</v>
      </c>
      <c r="AK93" s="19">
        <v>0</v>
      </c>
      <c r="AL93" s="19">
        <v>0</v>
      </c>
      <c r="AM93" s="19">
        <v>74.63</v>
      </c>
      <c r="AN93" s="3">
        <v>0</v>
      </c>
      <c r="AO93" s="3">
        <v>0</v>
      </c>
      <c r="AP93" s="3">
        <v>0</v>
      </c>
      <c r="AQ93" s="3">
        <v>0</v>
      </c>
      <c r="AR93" s="387">
        <v>25</v>
      </c>
      <c r="AS93" s="78">
        <v>20</v>
      </c>
      <c r="AT93" s="19"/>
      <c r="AU93" s="19"/>
      <c r="AV93" s="3"/>
      <c r="AW93" s="3"/>
      <c r="AX93" s="88"/>
      <c r="AY93" s="78"/>
      <c r="AZ93" s="19">
        <v>0</v>
      </c>
      <c r="BA93" s="19">
        <v>0</v>
      </c>
      <c r="BB93" s="3">
        <v>60.26</v>
      </c>
      <c r="BC93" s="3">
        <v>0</v>
      </c>
      <c r="BD93" s="88">
        <v>20</v>
      </c>
      <c r="BE93" s="78">
        <v>20</v>
      </c>
      <c r="BF93" s="279" t="s">
        <v>491</v>
      </c>
      <c r="BG93" t="str">
        <f t="shared" si="36"/>
        <v>SophieBairstowForbidden DreamSecondary &gt;9100</v>
      </c>
    </row>
    <row r="94" spans="1:59">
      <c r="A94" s="219" t="s">
        <v>121</v>
      </c>
      <c r="B94" s="212" t="s">
        <v>122</v>
      </c>
      <c r="C94" s="219" t="s">
        <v>111</v>
      </c>
      <c r="D94" s="219" t="s">
        <v>477</v>
      </c>
      <c r="E94" s="5"/>
      <c r="F94" s="88">
        <f t="shared" ref="F94:F95" si="38">SUM(T94,Z94,AI94,AR94,AX94,BD94,L94)</f>
        <v>0</v>
      </c>
      <c r="G94" s="78"/>
      <c r="H94" s="19"/>
      <c r="I94" s="3"/>
      <c r="J94" s="3"/>
      <c r="K94" s="11"/>
      <c r="L94" s="111"/>
      <c r="M94" s="78"/>
      <c r="N94" s="19"/>
      <c r="O94" s="3"/>
      <c r="P94" s="3"/>
      <c r="Q94" s="3"/>
      <c r="R94" s="11"/>
      <c r="S94" s="11" t="str">
        <f t="shared" si="33"/>
        <v/>
      </c>
      <c r="T94" s="88"/>
      <c r="U94" s="78" t="str">
        <f t="shared" si="35"/>
        <v/>
      </c>
      <c r="V94" s="19"/>
      <c r="W94" s="3"/>
      <c r="X94" s="3"/>
      <c r="Y94" s="11"/>
      <c r="Z94" s="88"/>
      <c r="AA94" s="78"/>
      <c r="AB94" s="19">
        <v>0</v>
      </c>
      <c r="AC94" s="19">
        <v>0</v>
      </c>
      <c r="AD94" s="19">
        <v>0</v>
      </c>
      <c r="AE94" s="19">
        <v>0</v>
      </c>
      <c r="AF94" s="19">
        <v>0</v>
      </c>
      <c r="AG94" s="19">
        <v>0</v>
      </c>
      <c r="AH94" s="19">
        <v>0</v>
      </c>
      <c r="AI94" s="111"/>
      <c r="AJ94" s="78"/>
      <c r="AK94" s="19">
        <v>0</v>
      </c>
      <c r="AL94" s="19">
        <v>0</v>
      </c>
      <c r="AM94" s="19">
        <v>0</v>
      </c>
      <c r="AN94" s="3">
        <v>0</v>
      </c>
      <c r="AO94" s="3">
        <v>0</v>
      </c>
      <c r="AP94" s="3">
        <v>0</v>
      </c>
      <c r="AQ94" s="3">
        <v>0</v>
      </c>
      <c r="AR94" s="387">
        <v>0</v>
      </c>
      <c r="AS94" s="78"/>
      <c r="AT94" s="19"/>
      <c r="AU94" s="19"/>
      <c r="AV94" s="3"/>
      <c r="AW94" s="3"/>
      <c r="AX94" s="88"/>
      <c r="AY94" s="78"/>
      <c r="AZ94" s="19"/>
      <c r="BA94" s="19"/>
      <c r="BB94" s="3"/>
      <c r="BC94" s="3"/>
      <c r="BD94" s="88"/>
      <c r="BE94" s="78"/>
      <c r="BF94" s="279" t="s">
        <v>491</v>
      </c>
      <c r="BG94" t="str">
        <f t="shared" si="36"/>
        <v>IndyBerdenMcCartney Park Balou du BlingSecondary &gt;9100</v>
      </c>
    </row>
    <row r="95" spans="1:59" ht="16.5" thickBot="1">
      <c r="A95" s="3" t="s">
        <v>148</v>
      </c>
      <c r="B95" s="3" t="s">
        <v>149</v>
      </c>
      <c r="C95" s="202" t="s">
        <v>150</v>
      </c>
      <c r="D95" s="202" t="s">
        <v>151</v>
      </c>
      <c r="E95" s="71"/>
      <c r="F95" s="90">
        <f t="shared" si="38"/>
        <v>0</v>
      </c>
      <c r="G95" s="78"/>
      <c r="H95" s="19"/>
      <c r="I95" s="3"/>
      <c r="J95" s="3"/>
      <c r="K95" s="11"/>
      <c r="L95" s="112"/>
      <c r="M95" s="86"/>
      <c r="N95" s="129"/>
      <c r="O95" s="3"/>
      <c r="P95" s="130"/>
      <c r="Q95" s="3"/>
      <c r="R95" s="11"/>
      <c r="S95" s="11" t="str">
        <f t="shared" si="33"/>
        <v/>
      </c>
      <c r="T95" s="90"/>
      <c r="U95" s="78" t="str">
        <f t="shared" si="34"/>
        <v/>
      </c>
      <c r="V95" s="19"/>
      <c r="W95" s="3"/>
      <c r="X95" s="3"/>
      <c r="Y95" s="11"/>
      <c r="Z95" s="90"/>
      <c r="AA95" s="86"/>
      <c r="AB95" s="19"/>
      <c r="AC95" s="3"/>
      <c r="AD95" s="3"/>
      <c r="AE95" s="3"/>
      <c r="AF95" s="3"/>
      <c r="AG95" s="3"/>
      <c r="AH95" s="3"/>
      <c r="AI95" s="112"/>
      <c r="AJ95" s="86"/>
      <c r="AK95" s="19"/>
      <c r="AL95" s="3"/>
      <c r="AM95" s="3"/>
      <c r="AN95" s="3"/>
      <c r="AO95" s="3"/>
      <c r="AP95" s="3"/>
      <c r="AQ95" s="3"/>
      <c r="AR95" s="388"/>
      <c r="AS95" s="86"/>
      <c r="AT95" s="19"/>
      <c r="AU95" s="19"/>
      <c r="AV95" s="3"/>
      <c r="AW95" s="3"/>
      <c r="AX95" s="90"/>
      <c r="AY95" s="86"/>
      <c r="AZ95" s="19">
        <v>8</v>
      </c>
      <c r="BA95" s="3">
        <v>28</v>
      </c>
      <c r="BB95" s="3">
        <v>103.45</v>
      </c>
      <c r="BC95" s="11">
        <v>36</v>
      </c>
      <c r="BD95" s="90"/>
      <c r="BE95" s="86" t="s">
        <v>31</v>
      </c>
      <c r="BF95" s="279" t="s">
        <v>491</v>
      </c>
    </row>
    <row r="96" spans="1:59" ht="16.5" thickBot="1">
      <c r="A96" s="7"/>
      <c r="B96" s="7"/>
      <c r="C96" s="7"/>
      <c r="D96" s="27"/>
      <c r="E96" s="27"/>
      <c r="N96" s="180"/>
      <c r="P96" s="180"/>
    </row>
    <row r="97" spans="1:60" ht="24" thickBot="1">
      <c r="A97" s="7"/>
      <c r="B97" s="7"/>
      <c r="C97" s="7"/>
      <c r="D97" s="7"/>
      <c r="E97" s="7"/>
      <c r="H97" s="410" t="s">
        <v>1</v>
      </c>
      <c r="I97" s="411"/>
      <c r="J97" s="411"/>
      <c r="K97" s="411"/>
      <c r="L97" s="411"/>
      <c r="M97" s="412"/>
      <c r="N97" s="399" t="s">
        <v>2</v>
      </c>
      <c r="O97" s="400"/>
      <c r="P97" s="400"/>
      <c r="Q97" s="400"/>
      <c r="R97" s="400"/>
      <c r="S97" s="400"/>
      <c r="T97" s="400"/>
      <c r="U97" s="401"/>
      <c r="V97" s="402" t="s">
        <v>3</v>
      </c>
      <c r="W97" s="403"/>
      <c r="X97" s="403"/>
      <c r="Y97" s="403"/>
      <c r="Z97" s="403"/>
      <c r="AA97" s="404"/>
      <c r="AB97" s="390" t="s">
        <v>4</v>
      </c>
      <c r="AC97" s="391"/>
      <c r="AD97" s="391"/>
      <c r="AE97" s="391"/>
      <c r="AF97" s="391"/>
      <c r="AG97" s="391"/>
      <c r="AH97" s="391"/>
      <c r="AI97" s="391"/>
      <c r="AJ97" s="392"/>
      <c r="AK97" s="393" t="s">
        <v>5</v>
      </c>
      <c r="AL97" s="394"/>
      <c r="AM97" s="394"/>
      <c r="AN97" s="394"/>
      <c r="AO97" s="394"/>
      <c r="AP97" s="394"/>
      <c r="AQ97" s="394"/>
      <c r="AR97" s="394"/>
      <c r="AS97" s="395"/>
      <c r="AT97" s="396" t="s">
        <v>6</v>
      </c>
      <c r="AU97" s="397"/>
      <c r="AV97" s="397"/>
      <c r="AW97" s="397"/>
      <c r="AX97" s="397"/>
      <c r="AY97" s="398"/>
      <c r="AZ97" s="405" t="s">
        <v>7</v>
      </c>
      <c r="BA97" s="406"/>
      <c r="BB97" s="406"/>
      <c r="BC97" s="406"/>
      <c r="BD97" s="406"/>
      <c r="BE97" s="407"/>
    </row>
    <row r="98" spans="1:60" s="43" customFormat="1" ht="63">
      <c r="A98" s="408" t="s">
        <v>147</v>
      </c>
      <c r="B98" s="409"/>
      <c r="C98" s="409"/>
      <c r="D98" s="409"/>
      <c r="E98" s="409"/>
      <c r="F98" s="117" t="s">
        <v>9</v>
      </c>
      <c r="G98" s="51" t="s">
        <v>10</v>
      </c>
      <c r="H98" s="47" t="s">
        <v>11</v>
      </c>
      <c r="I98" s="41" t="s">
        <v>12</v>
      </c>
      <c r="J98" s="42" t="s">
        <v>13</v>
      </c>
      <c r="K98" s="49" t="s">
        <v>14</v>
      </c>
      <c r="L98" s="97" t="s">
        <v>15</v>
      </c>
      <c r="M98" s="51" t="s">
        <v>16</v>
      </c>
      <c r="N98" s="59" t="s">
        <v>11</v>
      </c>
      <c r="O98" s="55" t="s">
        <v>17</v>
      </c>
      <c r="P98" s="61" t="s">
        <v>18</v>
      </c>
      <c r="Q98" s="55" t="s">
        <v>19</v>
      </c>
      <c r="R98" s="39" t="s">
        <v>466</v>
      </c>
      <c r="S98" s="37" t="s">
        <v>14</v>
      </c>
      <c r="T98" s="102" t="s">
        <v>15</v>
      </c>
      <c r="U98" s="51" t="s">
        <v>16</v>
      </c>
      <c r="V98" s="47" t="s">
        <v>11</v>
      </c>
      <c r="W98" s="41" t="s">
        <v>12</v>
      </c>
      <c r="X98" s="42" t="s">
        <v>13</v>
      </c>
      <c r="Y98" s="49" t="s">
        <v>14</v>
      </c>
      <c r="Z98" s="97" t="s">
        <v>15</v>
      </c>
      <c r="AA98" s="51" t="s">
        <v>16</v>
      </c>
      <c r="AB98" s="274" t="s">
        <v>483</v>
      </c>
      <c r="AC98" s="188" t="s">
        <v>484</v>
      </c>
      <c r="AD98" s="275" t="s">
        <v>485</v>
      </c>
      <c r="AE98" s="276" t="s">
        <v>486</v>
      </c>
      <c r="AF98" s="277" t="s">
        <v>487</v>
      </c>
      <c r="AG98" s="246" t="s">
        <v>488</v>
      </c>
      <c r="AH98" s="246" t="s">
        <v>489</v>
      </c>
      <c r="AI98" s="97" t="s">
        <v>15</v>
      </c>
      <c r="AJ98" s="51" t="s">
        <v>16</v>
      </c>
      <c r="AK98" s="274" t="s">
        <v>483</v>
      </c>
      <c r="AL98" s="188" t="s">
        <v>484</v>
      </c>
      <c r="AM98" s="275" t="s">
        <v>485</v>
      </c>
      <c r="AN98" s="276" t="s">
        <v>486</v>
      </c>
      <c r="AO98" s="277" t="s">
        <v>487</v>
      </c>
      <c r="AP98" s="246" t="s">
        <v>488</v>
      </c>
      <c r="AQ98" s="246" t="s">
        <v>489</v>
      </c>
      <c r="AR98" s="97" t="s">
        <v>15</v>
      </c>
      <c r="AS98" s="51" t="s">
        <v>16</v>
      </c>
      <c r="AT98" s="47" t="s">
        <v>11</v>
      </c>
      <c r="AU98" s="297" t="s">
        <v>513</v>
      </c>
      <c r="AV98" s="41" t="s">
        <v>21</v>
      </c>
      <c r="AW98" s="49" t="s">
        <v>14</v>
      </c>
      <c r="AX98" s="97" t="s">
        <v>15</v>
      </c>
      <c r="AY98" s="51" t="s">
        <v>16</v>
      </c>
      <c r="AZ98" s="59" t="s">
        <v>11</v>
      </c>
      <c r="BA98" s="297" t="s">
        <v>513</v>
      </c>
      <c r="BB98" s="56" t="s">
        <v>21</v>
      </c>
      <c r="BC98" s="62" t="s">
        <v>14</v>
      </c>
      <c r="BD98" s="97" t="s">
        <v>15</v>
      </c>
      <c r="BE98" s="51" t="s">
        <v>16</v>
      </c>
      <c r="BF98">
        <v>110</v>
      </c>
      <c r="BH98" t="str">
        <f>B98&amp;C98&amp;E98&amp;BG98</f>
        <v/>
      </c>
    </row>
    <row r="99" spans="1:60">
      <c r="A99" s="1" t="s">
        <v>22</v>
      </c>
      <c r="B99" s="1" t="s">
        <v>23</v>
      </c>
      <c r="C99" s="4" t="s">
        <v>24</v>
      </c>
      <c r="D99" s="4" t="s">
        <v>25</v>
      </c>
      <c r="E99" s="4" t="s">
        <v>26</v>
      </c>
      <c r="F99" s="88"/>
      <c r="G99" s="78"/>
      <c r="H99" s="19"/>
      <c r="I99" s="3"/>
      <c r="J99" s="3"/>
      <c r="K99" s="11"/>
      <c r="L99" s="88"/>
      <c r="M99" s="78"/>
      <c r="N99" s="19"/>
      <c r="O99" s="3"/>
      <c r="P99" s="3"/>
      <c r="Q99" s="3"/>
      <c r="R99" s="11"/>
      <c r="S99" s="11" t="str">
        <f t="shared" ref="S99:S107" si="39">IF(N99=0,"",N99)</f>
        <v/>
      </c>
      <c r="T99" s="111"/>
      <c r="U99" s="78" t="str">
        <f t="shared" ref="U99:U107" si="40">IF(T99="","",T99)</f>
        <v/>
      </c>
      <c r="V99" s="19"/>
      <c r="W99" s="3"/>
      <c r="X99" s="3"/>
      <c r="Y99" s="11"/>
      <c r="Z99" s="88"/>
      <c r="AA99" s="78"/>
      <c r="AB99" s="19"/>
      <c r="AC99" s="3"/>
      <c r="AD99" s="3"/>
      <c r="AE99" s="3"/>
      <c r="AF99" s="3"/>
      <c r="AG99" s="3"/>
      <c r="AH99" s="3"/>
      <c r="AI99" s="88"/>
      <c r="AJ99" s="78"/>
      <c r="AK99" s="19"/>
      <c r="AL99" s="3"/>
      <c r="AM99" s="3"/>
      <c r="AN99" s="11"/>
      <c r="AO99" s="3"/>
      <c r="AP99" s="3"/>
      <c r="AQ99" s="3"/>
      <c r="AR99" s="387"/>
      <c r="AS99" s="78"/>
      <c r="AT99" s="19"/>
      <c r="AU99" s="19"/>
      <c r="AV99" s="3"/>
      <c r="AW99" s="3"/>
      <c r="AX99" s="88"/>
      <c r="AY99" s="78"/>
      <c r="AZ99" s="19"/>
      <c r="BA99" s="19"/>
      <c r="BB99" s="3"/>
      <c r="BC99" s="3"/>
      <c r="BD99" s="88"/>
      <c r="BE99" s="78"/>
      <c r="BF99" s="279" t="s">
        <v>491</v>
      </c>
      <c r="BG99" t="str">
        <f>A99&amp;B99&amp;D99&amp;BF99&amp;$BF$98</f>
        <v>Rider First NameRider Last NameName of Pony/HorseSecondary &gt;9110</v>
      </c>
    </row>
    <row r="100" spans="1:60">
      <c r="A100" s="3" t="s">
        <v>139</v>
      </c>
      <c r="B100" s="3" t="s">
        <v>140</v>
      </c>
      <c r="C100" s="206" t="s">
        <v>63</v>
      </c>
      <c r="D100" s="34" t="s">
        <v>141</v>
      </c>
      <c r="E100" s="205">
        <v>11</v>
      </c>
      <c r="F100" s="88">
        <f>SUM(T100,Z100,AI100,AR100,AX100,BD100,L100)</f>
        <v>0</v>
      </c>
      <c r="G100" s="78"/>
      <c r="H100" s="19"/>
      <c r="I100" s="3"/>
      <c r="J100" s="3"/>
      <c r="K100" s="11"/>
      <c r="L100" s="88"/>
      <c r="M100" s="78"/>
      <c r="N100" s="19"/>
      <c r="O100" s="3"/>
      <c r="P100" s="3"/>
      <c r="Q100" s="3"/>
      <c r="R100" s="11"/>
      <c r="S100" s="11" t="str">
        <f t="shared" si="39"/>
        <v/>
      </c>
      <c r="T100" s="111"/>
      <c r="U100" s="78" t="str">
        <f t="shared" ref="U100:U105" si="41">IF(T100="","",T100)</f>
        <v/>
      </c>
      <c r="V100" s="19"/>
      <c r="W100" s="3"/>
      <c r="X100" s="3"/>
      <c r="Y100" s="11"/>
      <c r="Z100" s="88"/>
      <c r="AA100" s="78"/>
      <c r="AB100" s="19">
        <v>0</v>
      </c>
      <c r="AC100" s="19">
        <v>0</v>
      </c>
      <c r="AD100" s="19">
        <v>0</v>
      </c>
      <c r="AE100" s="19">
        <v>0</v>
      </c>
      <c r="AF100" s="19">
        <v>0</v>
      </c>
      <c r="AG100" s="19">
        <v>0</v>
      </c>
      <c r="AH100" s="19">
        <v>0</v>
      </c>
      <c r="AI100" s="88"/>
      <c r="AJ100" s="78"/>
      <c r="AK100" s="19">
        <v>0</v>
      </c>
      <c r="AL100" s="19">
        <v>0</v>
      </c>
      <c r="AM100" s="19">
        <v>0</v>
      </c>
      <c r="AN100" s="25">
        <v>0</v>
      </c>
      <c r="AO100" s="3">
        <v>0</v>
      </c>
      <c r="AP100" s="3">
        <v>0</v>
      </c>
      <c r="AQ100" s="3">
        <v>0</v>
      </c>
      <c r="AR100" s="387">
        <v>0</v>
      </c>
      <c r="AS100" s="78"/>
      <c r="AT100" s="19"/>
      <c r="AU100" s="19"/>
      <c r="AV100" s="3"/>
      <c r="AW100" s="3"/>
      <c r="AX100" s="88"/>
      <c r="AY100" s="78"/>
      <c r="AZ100" s="19"/>
      <c r="BA100" s="19"/>
      <c r="BB100" s="3"/>
      <c r="BC100" s="3"/>
      <c r="BD100" s="88"/>
      <c r="BE100" s="78"/>
      <c r="BF100" s="279" t="s">
        <v>491</v>
      </c>
      <c r="BG100" t="str">
        <f t="shared" ref="BG100:BG104" si="42">A100&amp;B100&amp;D100&amp;BF100&amp;$BF$98</f>
        <v>EllaBeisselFictionSecondary &gt;9110</v>
      </c>
    </row>
    <row r="101" spans="1:60">
      <c r="A101" s="3" t="s">
        <v>148</v>
      </c>
      <c r="B101" s="3" t="s">
        <v>149</v>
      </c>
      <c r="C101" s="202" t="s">
        <v>150</v>
      </c>
      <c r="D101" s="202" t="s">
        <v>151</v>
      </c>
      <c r="E101" s="212">
        <v>9</v>
      </c>
      <c r="F101" s="88">
        <f t="shared" ref="F101:F105" si="43">SUM(T101,Z101,AI101,AR101,AX101,BD101,L101)</f>
        <v>57</v>
      </c>
      <c r="G101" s="78">
        <f>SUM(M101,U101)</f>
        <v>39</v>
      </c>
      <c r="H101" s="19">
        <v>8</v>
      </c>
      <c r="I101" s="3">
        <v>0</v>
      </c>
      <c r="J101" s="3">
        <v>78.22</v>
      </c>
      <c r="K101" s="11">
        <v>8</v>
      </c>
      <c r="L101" s="88">
        <v>19</v>
      </c>
      <c r="M101" s="78">
        <v>19</v>
      </c>
      <c r="N101" s="19">
        <v>0</v>
      </c>
      <c r="O101" s="3">
        <v>56.61</v>
      </c>
      <c r="P101" s="3">
        <v>40.26</v>
      </c>
      <c r="Q101" s="3">
        <v>0</v>
      </c>
      <c r="R101" s="11">
        <v>40.26</v>
      </c>
      <c r="S101" s="11">
        <v>0</v>
      </c>
      <c r="T101" s="111">
        <v>20</v>
      </c>
      <c r="U101" s="78">
        <v>20</v>
      </c>
      <c r="V101" s="25">
        <v>4</v>
      </c>
      <c r="W101" s="3">
        <v>0</v>
      </c>
      <c r="X101" s="3">
        <v>81.3</v>
      </c>
      <c r="Y101" s="11">
        <v>4</v>
      </c>
      <c r="Z101" s="88">
        <v>18</v>
      </c>
      <c r="AA101" s="78">
        <v>18</v>
      </c>
      <c r="AB101" s="19" t="s">
        <v>494</v>
      </c>
      <c r="AC101" s="19">
        <v>0</v>
      </c>
      <c r="AD101" s="19">
        <v>0</v>
      </c>
      <c r="AE101" s="19">
        <v>0</v>
      </c>
      <c r="AF101" s="19">
        <v>0</v>
      </c>
      <c r="AG101" s="19">
        <v>0</v>
      </c>
      <c r="AH101" s="19">
        <v>0</v>
      </c>
      <c r="AI101" s="88"/>
      <c r="AJ101" s="78"/>
      <c r="AK101" s="19" t="s">
        <v>496</v>
      </c>
      <c r="AL101" s="19">
        <v>0</v>
      </c>
      <c r="AM101" s="19">
        <v>0</v>
      </c>
      <c r="AN101" s="25">
        <v>0</v>
      </c>
      <c r="AO101" s="3">
        <v>0</v>
      </c>
      <c r="AP101" s="3">
        <v>0</v>
      </c>
      <c r="AQ101" s="3">
        <v>0</v>
      </c>
      <c r="AR101" s="387">
        <v>0</v>
      </c>
      <c r="AS101" s="78"/>
      <c r="AT101" s="19"/>
      <c r="AU101" s="19"/>
      <c r="AV101" s="3"/>
      <c r="AW101" s="3"/>
      <c r="AX101" s="88"/>
      <c r="AY101" s="78"/>
      <c r="AZ101" s="19"/>
      <c r="BA101" s="19"/>
      <c r="BB101" s="3"/>
      <c r="BC101" s="3"/>
      <c r="BD101" s="88"/>
      <c r="BE101" s="78"/>
      <c r="BF101" s="279" t="s">
        <v>491</v>
      </c>
      <c r="BG101" t="str">
        <f t="shared" si="42"/>
        <v>HarlowDiamondHe's All WhiteSecondary &gt;9110</v>
      </c>
    </row>
    <row r="102" spans="1:60">
      <c r="A102" s="3" t="s">
        <v>121</v>
      </c>
      <c r="B102" s="3" t="s">
        <v>122</v>
      </c>
      <c r="C102" s="202" t="s">
        <v>111</v>
      </c>
      <c r="D102" s="202" t="s">
        <v>498</v>
      </c>
      <c r="E102" s="205">
        <v>12</v>
      </c>
      <c r="F102" s="88">
        <f t="shared" si="43"/>
        <v>103</v>
      </c>
      <c r="G102" s="78">
        <f>SUM(M102,AJ102)</f>
        <v>40</v>
      </c>
      <c r="H102" s="19">
        <v>4</v>
      </c>
      <c r="I102" s="3">
        <v>0</v>
      </c>
      <c r="J102" s="3">
        <v>73.7</v>
      </c>
      <c r="K102" s="11">
        <v>4</v>
      </c>
      <c r="L102" s="88">
        <v>20</v>
      </c>
      <c r="M102" s="78">
        <v>20</v>
      </c>
      <c r="N102" s="19"/>
      <c r="O102" s="3"/>
      <c r="P102" s="3"/>
      <c r="Q102" s="3"/>
      <c r="R102" s="11"/>
      <c r="S102" s="11" t="str">
        <f t="shared" si="39"/>
        <v/>
      </c>
      <c r="T102" s="111"/>
      <c r="U102" s="78" t="str">
        <f t="shared" si="41"/>
        <v/>
      </c>
      <c r="V102" s="19">
        <v>0</v>
      </c>
      <c r="W102" s="3">
        <v>0</v>
      </c>
      <c r="X102" s="3">
        <v>83.47</v>
      </c>
      <c r="Y102" s="11">
        <v>0</v>
      </c>
      <c r="Z102" s="88">
        <v>19</v>
      </c>
      <c r="AA102" s="78">
        <v>19</v>
      </c>
      <c r="AB102" s="19">
        <v>0</v>
      </c>
      <c r="AC102" s="19">
        <v>0</v>
      </c>
      <c r="AD102" s="19">
        <v>81.209999999999994</v>
      </c>
      <c r="AE102" s="19">
        <v>0</v>
      </c>
      <c r="AF102" s="19">
        <v>40.1</v>
      </c>
      <c r="AG102" s="19">
        <v>0</v>
      </c>
      <c r="AH102" s="19">
        <v>0</v>
      </c>
      <c r="AI102" s="88">
        <v>25</v>
      </c>
      <c r="AJ102" s="78">
        <v>20</v>
      </c>
      <c r="AK102" s="19" t="s">
        <v>494</v>
      </c>
      <c r="AL102" s="19">
        <v>0</v>
      </c>
      <c r="AM102" s="19">
        <v>0</v>
      </c>
      <c r="AN102" s="25">
        <v>0</v>
      </c>
      <c r="AO102" s="3">
        <v>0</v>
      </c>
      <c r="AP102" s="3">
        <v>0</v>
      </c>
      <c r="AQ102" s="3">
        <v>0</v>
      </c>
      <c r="AR102" s="387">
        <v>0</v>
      </c>
      <c r="AS102" s="78"/>
      <c r="AT102" s="19">
        <v>0</v>
      </c>
      <c r="AU102" s="19">
        <v>0</v>
      </c>
      <c r="AV102" s="3">
        <v>30.7</v>
      </c>
      <c r="AW102" s="3">
        <v>0</v>
      </c>
      <c r="AX102" s="88">
        <v>19</v>
      </c>
      <c r="AY102" s="78">
        <v>19</v>
      </c>
      <c r="AZ102" s="19">
        <v>0</v>
      </c>
      <c r="BA102" s="19">
        <v>0</v>
      </c>
      <c r="BB102" s="3">
        <v>64.97</v>
      </c>
      <c r="BC102" s="3">
        <v>0</v>
      </c>
      <c r="BD102" s="88">
        <v>20</v>
      </c>
      <c r="BE102" s="78">
        <v>20</v>
      </c>
      <c r="BF102" s="279" t="s">
        <v>491</v>
      </c>
      <c r="BG102" t="str">
        <f t="shared" si="42"/>
        <v>IndyBerdenEV DOLCETTASecondary &gt;9110</v>
      </c>
    </row>
    <row r="103" spans="1:60">
      <c r="A103" s="3" t="s">
        <v>132</v>
      </c>
      <c r="B103" t="s">
        <v>133</v>
      </c>
      <c r="C103" s="202" t="s">
        <v>134</v>
      </c>
      <c r="D103" s="202" t="s">
        <v>152</v>
      </c>
      <c r="E103" s="218">
        <v>12</v>
      </c>
      <c r="F103" s="88">
        <f t="shared" si="43"/>
        <v>107</v>
      </c>
      <c r="G103" s="78">
        <f>SUM(AS103,AA103)</f>
        <v>40</v>
      </c>
      <c r="H103" s="19"/>
      <c r="I103" s="3"/>
      <c r="J103" s="3"/>
      <c r="K103" s="11"/>
      <c r="L103" s="88"/>
      <c r="M103" s="78"/>
      <c r="N103" s="19">
        <v>0</v>
      </c>
      <c r="O103" s="3">
        <v>55.78</v>
      </c>
      <c r="P103" s="3">
        <v>42.49</v>
      </c>
      <c r="Q103" s="3">
        <v>0</v>
      </c>
      <c r="R103" s="11">
        <v>42.49</v>
      </c>
      <c r="S103" s="11">
        <v>0</v>
      </c>
      <c r="T103" s="111">
        <v>19</v>
      </c>
      <c r="U103" s="78">
        <v>19</v>
      </c>
      <c r="V103" s="19">
        <v>0</v>
      </c>
      <c r="W103" s="3">
        <v>0</v>
      </c>
      <c r="X103" s="3">
        <v>79.48</v>
      </c>
      <c r="Y103" s="11">
        <v>0</v>
      </c>
      <c r="Z103" s="88">
        <v>20</v>
      </c>
      <c r="AA103" s="78">
        <v>20</v>
      </c>
      <c r="AB103" s="19">
        <v>0</v>
      </c>
      <c r="AC103" s="19">
        <v>0</v>
      </c>
      <c r="AD103" s="19">
        <v>81.209999999999994</v>
      </c>
      <c r="AE103" s="19">
        <v>0</v>
      </c>
      <c r="AF103" s="19">
        <v>43.54</v>
      </c>
      <c r="AG103" s="19">
        <v>0</v>
      </c>
      <c r="AH103" s="19">
        <v>0</v>
      </c>
      <c r="AI103" s="88">
        <v>24</v>
      </c>
      <c r="AJ103" s="78">
        <v>19</v>
      </c>
      <c r="AK103" s="19">
        <v>4</v>
      </c>
      <c r="AL103" s="19">
        <v>0</v>
      </c>
      <c r="AM103" s="19">
        <v>77.81</v>
      </c>
      <c r="AN103" s="25">
        <v>0</v>
      </c>
      <c r="AO103" s="3">
        <v>0</v>
      </c>
      <c r="AP103" s="3">
        <v>4</v>
      </c>
      <c r="AQ103" s="3">
        <v>4</v>
      </c>
      <c r="AR103" s="387">
        <v>25</v>
      </c>
      <c r="AS103" s="78">
        <v>20</v>
      </c>
      <c r="AT103" s="19"/>
      <c r="AU103" s="19"/>
      <c r="AV103" s="3"/>
      <c r="AW103" s="3"/>
      <c r="AX103" s="88"/>
      <c r="AY103" s="78"/>
      <c r="AZ103" s="19">
        <v>0</v>
      </c>
      <c r="BA103" s="19">
        <v>0</v>
      </c>
      <c r="BB103" s="3">
        <v>71.39</v>
      </c>
      <c r="BC103" s="3">
        <v>0</v>
      </c>
      <c r="BD103" s="88">
        <v>19</v>
      </c>
      <c r="BE103" s="78">
        <v>19</v>
      </c>
      <c r="BF103" s="279" t="s">
        <v>491</v>
      </c>
      <c r="BG103" t="str">
        <f t="shared" si="42"/>
        <v>ShaeTweddleGlenshea RiversongSecondary &gt;9110</v>
      </c>
    </row>
    <row r="104" spans="1:60">
      <c r="A104" s="3" t="s">
        <v>143</v>
      </c>
      <c r="B104" s="3" t="s">
        <v>144</v>
      </c>
      <c r="C104" s="202" t="s">
        <v>145</v>
      </c>
      <c r="D104" s="202" t="s">
        <v>146</v>
      </c>
      <c r="E104" s="216">
        <v>10</v>
      </c>
      <c r="F104" s="88">
        <f t="shared" si="43"/>
        <v>67</v>
      </c>
      <c r="G104" s="78">
        <v>39</v>
      </c>
      <c r="H104" s="19"/>
      <c r="I104" s="3"/>
      <c r="J104" s="3"/>
      <c r="K104" s="11"/>
      <c r="L104" s="88"/>
      <c r="M104" s="78"/>
      <c r="N104" s="19"/>
      <c r="O104" s="3"/>
      <c r="P104" s="3"/>
      <c r="Q104" s="3"/>
      <c r="R104" s="11"/>
      <c r="S104" s="11" t="str">
        <f t="shared" si="39"/>
        <v/>
      </c>
      <c r="T104" s="111"/>
      <c r="U104" s="78" t="str">
        <f t="shared" si="41"/>
        <v/>
      </c>
      <c r="V104" s="19"/>
      <c r="W104" s="3"/>
      <c r="X104" s="3"/>
      <c r="Y104" s="11"/>
      <c r="Z104" s="88"/>
      <c r="AA104" s="78"/>
      <c r="AB104" s="19">
        <v>4</v>
      </c>
      <c r="AC104" s="19">
        <v>0</v>
      </c>
      <c r="AD104" s="19">
        <v>79.63</v>
      </c>
      <c r="AE104" s="19">
        <v>0</v>
      </c>
      <c r="AF104" s="19">
        <v>0</v>
      </c>
      <c r="AG104" s="19">
        <v>4</v>
      </c>
      <c r="AH104" s="19">
        <v>4</v>
      </c>
      <c r="AI104" s="88">
        <v>23</v>
      </c>
      <c r="AJ104" s="78">
        <v>18</v>
      </c>
      <c r="AK104" s="19">
        <v>4</v>
      </c>
      <c r="AL104" s="19">
        <v>4</v>
      </c>
      <c r="AM104" s="19">
        <v>81.69</v>
      </c>
      <c r="AN104" s="25">
        <v>0</v>
      </c>
      <c r="AO104" s="3">
        <v>0</v>
      </c>
      <c r="AP104" s="3">
        <v>8</v>
      </c>
      <c r="AQ104" s="3">
        <v>8</v>
      </c>
      <c r="AR104" s="387">
        <v>24</v>
      </c>
      <c r="AS104" s="78">
        <v>19</v>
      </c>
      <c r="AT104" s="19">
        <v>0</v>
      </c>
      <c r="AU104" s="19">
        <v>0</v>
      </c>
      <c r="AV104" s="3">
        <v>34.9</v>
      </c>
      <c r="AW104" s="3">
        <v>0</v>
      </c>
      <c r="AX104" s="88">
        <v>20</v>
      </c>
      <c r="AY104" s="78">
        <v>20</v>
      </c>
      <c r="AZ104" s="19">
        <v>12</v>
      </c>
      <c r="BA104" s="19">
        <v>0</v>
      </c>
      <c r="BB104" s="3">
        <v>81.05</v>
      </c>
      <c r="BC104" s="3">
        <v>0</v>
      </c>
      <c r="BD104" s="88"/>
      <c r="BE104" s="78" t="s">
        <v>31</v>
      </c>
      <c r="BF104" s="279" t="s">
        <v>491</v>
      </c>
      <c r="BG104" t="str">
        <f t="shared" si="42"/>
        <v>SophieBairstowForbidden DreamSecondary &gt;9110</v>
      </c>
    </row>
    <row r="105" spans="1:60">
      <c r="A105" s="3"/>
      <c r="B105" s="3"/>
      <c r="C105" s="202"/>
      <c r="D105" s="202"/>
      <c r="E105" s="5"/>
      <c r="F105" s="88">
        <f t="shared" si="43"/>
        <v>0</v>
      </c>
      <c r="G105" s="78"/>
      <c r="H105" s="19"/>
      <c r="I105" s="3"/>
      <c r="J105" s="3"/>
      <c r="K105" s="11"/>
      <c r="L105" s="88"/>
      <c r="M105" s="78"/>
      <c r="N105" s="19"/>
      <c r="O105" s="3"/>
      <c r="P105" s="3"/>
      <c r="Q105" s="3"/>
      <c r="R105" s="11"/>
      <c r="S105" s="11" t="str">
        <f t="shared" si="39"/>
        <v/>
      </c>
      <c r="T105" s="152"/>
      <c r="U105" s="78" t="str">
        <f t="shared" si="41"/>
        <v/>
      </c>
      <c r="V105" s="19"/>
      <c r="W105" s="3"/>
      <c r="X105" s="3"/>
      <c r="Y105" s="11"/>
      <c r="Z105" s="88"/>
      <c r="AA105" s="78"/>
      <c r="AB105" s="19"/>
      <c r="AC105" s="3"/>
      <c r="AD105" s="3"/>
      <c r="AE105" s="3"/>
      <c r="AF105" s="3"/>
      <c r="AG105" s="3"/>
      <c r="AH105" s="3"/>
      <c r="AI105" s="88"/>
      <c r="AJ105" s="78"/>
      <c r="AK105" s="19"/>
      <c r="AL105" s="3"/>
      <c r="AM105" s="3"/>
      <c r="AN105" s="11"/>
      <c r="AO105" s="3"/>
      <c r="AP105" s="3"/>
      <c r="AQ105" s="3"/>
      <c r="AR105" s="387"/>
      <c r="AS105" s="78"/>
      <c r="AT105" s="19"/>
      <c r="AU105" s="19"/>
      <c r="AV105" s="3"/>
      <c r="AW105" s="3"/>
      <c r="AX105" s="155"/>
      <c r="AY105" s="162"/>
      <c r="AZ105" s="19"/>
      <c r="BA105" s="19"/>
      <c r="BB105" s="3"/>
      <c r="BC105" s="3"/>
      <c r="BD105" s="155"/>
      <c r="BE105" s="162"/>
      <c r="BF105" s="279" t="s">
        <v>491</v>
      </c>
    </row>
    <row r="106" spans="1:60">
      <c r="A106" s="2"/>
      <c r="B106" s="2"/>
      <c r="C106" s="2"/>
      <c r="D106" s="71"/>
      <c r="E106" s="71"/>
      <c r="F106" s="88">
        <f>SUM(T106,Z106,AI106,AR106,AX106,BD106,L106)</f>
        <v>0</v>
      </c>
      <c r="G106" s="78"/>
      <c r="H106" s="19"/>
      <c r="I106" s="3"/>
      <c r="J106" s="3"/>
      <c r="K106" s="11"/>
      <c r="L106" s="88"/>
      <c r="M106" s="78"/>
      <c r="N106" s="19"/>
      <c r="O106" s="3"/>
      <c r="P106" s="3"/>
      <c r="Q106" s="3"/>
      <c r="R106" s="11"/>
      <c r="S106" s="11" t="str">
        <f t="shared" si="39"/>
        <v/>
      </c>
      <c r="T106" s="150"/>
      <c r="U106" s="78" t="str">
        <f t="shared" si="40"/>
        <v/>
      </c>
      <c r="V106" s="19"/>
      <c r="W106" s="3"/>
      <c r="X106" s="3"/>
      <c r="Y106" s="11"/>
      <c r="Z106" s="88"/>
      <c r="AA106" s="78"/>
      <c r="AB106" s="19"/>
      <c r="AC106" s="3"/>
      <c r="AD106" s="3"/>
      <c r="AE106" s="14"/>
      <c r="AF106" s="14"/>
      <c r="AG106" s="14"/>
      <c r="AH106" s="14"/>
      <c r="AI106" s="88"/>
      <c r="AJ106" s="78"/>
      <c r="AK106" s="19"/>
      <c r="AL106" s="3"/>
      <c r="AM106" s="3"/>
      <c r="AN106" s="11"/>
      <c r="AO106" s="3"/>
      <c r="AP106" s="3"/>
      <c r="AQ106" s="3"/>
      <c r="AR106" s="387"/>
      <c r="AS106" s="78"/>
      <c r="AT106" s="19"/>
      <c r="AU106" s="19"/>
      <c r="AV106" s="3"/>
      <c r="AW106" s="3"/>
      <c r="AX106" s="88"/>
      <c r="AY106" s="78"/>
      <c r="AZ106" s="19"/>
      <c r="BA106" s="19"/>
      <c r="BB106" s="3"/>
      <c r="BC106" s="3"/>
      <c r="BD106" s="88"/>
      <c r="BE106" s="78"/>
      <c r="BF106" s="279" t="s">
        <v>491</v>
      </c>
    </row>
    <row r="107" spans="1:60">
      <c r="A107" s="8"/>
      <c r="B107" s="2"/>
      <c r="C107" s="5"/>
      <c r="D107" s="5"/>
      <c r="E107" s="5"/>
      <c r="F107" s="90">
        <f>SUM(T107,Z107,AI107,AR107,AX107,BD107,L107)</f>
        <v>0</v>
      </c>
      <c r="G107" s="86"/>
      <c r="H107" s="19"/>
      <c r="I107" s="3"/>
      <c r="J107" s="3"/>
      <c r="K107" s="11"/>
      <c r="L107" s="90"/>
      <c r="M107" s="86"/>
      <c r="N107" s="19"/>
      <c r="O107" s="3"/>
      <c r="P107" s="3"/>
      <c r="Q107" s="3"/>
      <c r="R107" s="11"/>
      <c r="S107" s="11" t="str">
        <f t="shared" si="39"/>
        <v/>
      </c>
      <c r="T107" s="151"/>
      <c r="U107" s="78" t="str">
        <f t="shared" si="40"/>
        <v/>
      </c>
      <c r="V107" s="19"/>
      <c r="W107" s="3"/>
      <c r="X107" s="3"/>
      <c r="Y107" s="11"/>
      <c r="Z107" s="90"/>
      <c r="AA107" s="86"/>
      <c r="AB107" s="19"/>
      <c r="AC107" s="3"/>
      <c r="AD107" s="3"/>
      <c r="AE107" s="3"/>
      <c r="AF107" s="3"/>
      <c r="AG107" s="3"/>
      <c r="AH107" s="3"/>
      <c r="AI107" s="90"/>
      <c r="AJ107" s="86"/>
      <c r="AK107" s="19"/>
      <c r="AL107" s="3"/>
      <c r="AM107" s="3"/>
      <c r="AN107" s="11"/>
      <c r="AO107" s="3"/>
      <c r="AP107" s="3"/>
      <c r="AQ107" s="3"/>
      <c r="AR107" s="388"/>
      <c r="AS107" s="86"/>
      <c r="AT107" s="19"/>
      <c r="AU107" s="19"/>
      <c r="AV107" s="3"/>
      <c r="AW107" s="3"/>
      <c r="AX107" s="90"/>
      <c r="AY107" s="86"/>
      <c r="AZ107" s="19"/>
      <c r="BA107" s="19"/>
      <c r="BB107" s="3"/>
      <c r="BC107" s="3"/>
      <c r="BD107" s="90"/>
      <c r="BE107" s="86"/>
      <c r="BF107" s="279" t="s">
        <v>491</v>
      </c>
    </row>
    <row r="109" spans="1:60" ht="24" thickBot="1">
      <c r="A109" s="7"/>
      <c r="B109" s="7"/>
      <c r="C109" s="7"/>
      <c r="D109" s="7"/>
      <c r="E109" s="7"/>
      <c r="H109" s="410" t="s">
        <v>1</v>
      </c>
      <c r="I109" s="411"/>
      <c r="J109" s="411"/>
      <c r="K109" s="411"/>
      <c r="L109" s="411"/>
      <c r="M109" s="412"/>
      <c r="N109" s="399" t="s">
        <v>2</v>
      </c>
      <c r="O109" s="400"/>
      <c r="P109" s="400"/>
      <c r="Q109" s="400"/>
      <c r="R109" s="400"/>
      <c r="S109" s="400"/>
      <c r="T109" s="400"/>
      <c r="U109" s="401"/>
      <c r="V109" s="402" t="s">
        <v>3</v>
      </c>
      <c r="W109" s="403"/>
      <c r="X109" s="403"/>
      <c r="Y109" s="403"/>
      <c r="Z109" s="403"/>
      <c r="AA109" s="404"/>
      <c r="AB109" s="390" t="s">
        <v>4</v>
      </c>
      <c r="AC109" s="391"/>
      <c r="AD109" s="391"/>
      <c r="AE109" s="391"/>
      <c r="AF109" s="391"/>
      <c r="AG109" s="391"/>
      <c r="AH109" s="391"/>
      <c r="AI109" s="391"/>
      <c r="AJ109" s="392"/>
      <c r="AK109" s="393" t="s">
        <v>5</v>
      </c>
      <c r="AL109" s="394"/>
      <c r="AM109" s="394"/>
      <c r="AN109" s="394"/>
      <c r="AO109" s="394"/>
      <c r="AP109" s="394"/>
      <c r="AQ109" s="394"/>
      <c r="AR109" s="394"/>
      <c r="AS109" s="395"/>
      <c r="AT109" s="396" t="s">
        <v>6</v>
      </c>
      <c r="AU109" s="397"/>
      <c r="AV109" s="397"/>
      <c r="AW109" s="397"/>
      <c r="AX109" s="397"/>
      <c r="AY109" s="398"/>
      <c r="AZ109" s="405" t="s">
        <v>7</v>
      </c>
      <c r="BA109" s="406"/>
      <c r="BB109" s="406"/>
      <c r="BC109" s="406"/>
      <c r="BD109" s="406"/>
      <c r="BE109" s="407"/>
    </row>
    <row r="110" spans="1:60" ht="63">
      <c r="A110" s="408" t="s">
        <v>153</v>
      </c>
      <c r="B110" s="409"/>
      <c r="C110" s="409"/>
      <c r="D110" s="409"/>
      <c r="E110" s="409"/>
      <c r="F110" s="117" t="s">
        <v>9</v>
      </c>
      <c r="G110" s="51" t="s">
        <v>10</v>
      </c>
      <c r="H110" s="47" t="s">
        <v>11</v>
      </c>
      <c r="I110" s="41" t="s">
        <v>12</v>
      </c>
      <c r="J110" s="42" t="s">
        <v>13</v>
      </c>
      <c r="K110" s="49" t="s">
        <v>14</v>
      </c>
      <c r="L110" s="97" t="s">
        <v>15</v>
      </c>
      <c r="M110" s="51" t="s">
        <v>16</v>
      </c>
      <c r="N110" s="59" t="s">
        <v>11</v>
      </c>
      <c r="O110" s="55" t="s">
        <v>17</v>
      </c>
      <c r="P110" s="61" t="s">
        <v>18</v>
      </c>
      <c r="Q110" s="55" t="s">
        <v>19</v>
      </c>
      <c r="R110" s="39" t="s">
        <v>466</v>
      </c>
      <c r="S110" s="37" t="s">
        <v>14</v>
      </c>
      <c r="T110" s="102" t="s">
        <v>15</v>
      </c>
      <c r="U110" s="51" t="s">
        <v>16</v>
      </c>
      <c r="V110" s="47" t="s">
        <v>11</v>
      </c>
      <c r="W110" s="41" t="s">
        <v>12</v>
      </c>
      <c r="X110" s="42" t="s">
        <v>13</v>
      </c>
      <c r="Y110" s="49" t="s">
        <v>14</v>
      </c>
      <c r="Z110" s="97" t="s">
        <v>15</v>
      </c>
      <c r="AA110" s="51" t="s">
        <v>16</v>
      </c>
      <c r="AB110" s="274" t="s">
        <v>483</v>
      </c>
      <c r="AC110" s="188" t="s">
        <v>484</v>
      </c>
      <c r="AD110" s="275" t="s">
        <v>485</v>
      </c>
      <c r="AE110" s="276" t="s">
        <v>486</v>
      </c>
      <c r="AF110" s="277" t="s">
        <v>487</v>
      </c>
      <c r="AG110" s="246" t="s">
        <v>488</v>
      </c>
      <c r="AH110" s="246" t="s">
        <v>489</v>
      </c>
      <c r="AI110" s="97" t="s">
        <v>15</v>
      </c>
      <c r="AJ110" s="51" t="s">
        <v>16</v>
      </c>
      <c r="AK110" s="274" t="s">
        <v>483</v>
      </c>
      <c r="AL110" s="188" t="s">
        <v>484</v>
      </c>
      <c r="AM110" s="275" t="s">
        <v>485</v>
      </c>
      <c r="AN110" s="276" t="s">
        <v>486</v>
      </c>
      <c r="AO110" s="277" t="s">
        <v>487</v>
      </c>
      <c r="AP110" s="246" t="s">
        <v>488</v>
      </c>
      <c r="AQ110" s="246" t="s">
        <v>489</v>
      </c>
      <c r="AR110" s="97" t="s">
        <v>15</v>
      </c>
      <c r="AS110" s="51" t="s">
        <v>16</v>
      </c>
      <c r="AT110" s="47" t="s">
        <v>11</v>
      </c>
      <c r="AU110" s="297" t="s">
        <v>513</v>
      </c>
      <c r="AV110" s="41" t="s">
        <v>21</v>
      </c>
      <c r="AW110" s="49" t="s">
        <v>14</v>
      </c>
      <c r="AX110" s="97" t="s">
        <v>15</v>
      </c>
      <c r="AY110" s="51" t="s">
        <v>16</v>
      </c>
      <c r="AZ110" s="59" t="s">
        <v>11</v>
      </c>
      <c r="BA110" s="297" t="s">
        <v>513</v>
      </c>
      <c r="BB110" s="56" t="s">
        <v>21</v>
      </c>
      <c r="BC110" s="62" t="s">
        <v>14</v>
      </c>
      <c r="BD110" s="97" t="s">
        <v>15</v>
      </c>
      <c r="BE110" s="51" t="s">
        <v>16</v>
      </c>
      <c r="BF110">
        <v>120</v>
      </c>
    </row>
    <row r="111" spans="1:60">
      <c r="A111" s="1" t="s">
        <v>22</v>
      </c>
      <c r="B111" s="1" t="s">
        <v>23</v>
      </c>
      <c r="C111" s="4" t="s">
        <v>24</v>
      </c>
      <c r="D111" s="4" t="s">
        <v>25</v>
      </c>
      <c r="E111" s="4" t="s">
        <v>26</v>
      </c>
      <c r="F111" s="88"/>
      <c r="G111" s="78"/>
      <c r="H111" s="19"/>
      <c r="I111" s="3"/>
      <c r="J111" s="3"/>
      <c r="K111" s="11"/>
      <c r="L111" s="88"/>
      <c r="M111" s="78"/>
      <c r="N111" s="19"/>
      <c r="O111" s="3"/>
      <c r="P111" s="3"/>
      <c r="Q111" s="3"/>
      <c r="R111" s="11"/>
      <c r="S111" s="11" t="str">
        <f t="shared" ref="S111:S119" si="44">IF(N111=0,"",N111)</f>
        <v/>
      </c>
      <c r="T111" s="111"/>
      <c r="U111" s="78" t="str">
        <f t="shared" ref="U111:U119" si="45">IF(T111="","",T111)</f>
        <v/>
      </c>
      <c r="V111" s="19"/>
      <c r="W111" s="3"/>
      <c r="X111" s="3"/>
      <c r="Y111" s="11"/>
      <c r="Z111" s="88"/>
      <c r="AA111" s="78"/>
      <c r="AB111" s="19"/>
      <c r="AC111" s="3"/>
      <c r="AD111" s="3"/>
      <c r="AE111" s="3"/>
      <c r="AF111" s="3"/>
      <c r="AG111" s="3"/>
      <c r="AH111" s="3"/>
      <c r="AI111" s="88"/>
      <c r="AJ111" s="78"/>
      <c r="AK111" s="19"/>
      <c r="AL111" s="3"/>
      <c r="AM111" s="3"/>
      <c r="AN111" s="3"/>
      <c r="AO111" s="3"/>
      <c r="AP111" s="3"/>
      <c r="AQ111" s="3"/>
      <c r="AR111" s="387"/>
      <c r="AS111" s="78"/>
      <c r="AT111" s="19"/>
      <c r="AU111" s="19"/>
      <c r="AV111" s="3"/>
      <c r="AW111" s="3"/>
      <c r="AX111" s="88"/>
      <c r="AY111" s="78"/>
      <c r="AZ111" s="19"/>
      <c r="BA111" s="19"/>
      <c r="BB111" s="3"/>
      <c r="BC111" s="3"/>
      <c r="BD111" s="88"/>
      <c r="BE111" s="78"/>
      <c r="BF111" s="279" t="s">
        <v>491</v>
      </c>
      <c r="BG111" t="str">
        <f>A111&amp;B111&amp;D111&amp;BF111&amp;$BF$110</f>
        <v>Rider First NameRider Last NameName of Pony/HorseSecondary &gt;9120</v>
      </c>
    </row>
    <row r="112" spans="1:60">
      <c r="A112" s="3" t="s">
        <v>132</v>
      </c>
      <c r="B112" s="3" t="s">
        <v>133</v>
      </c>
      <c r="C112" s="202" t="s">
        <v>134</v>
      </c>
      <c r="D112" s="202" t="s">
        <v>152</v>
      </c>
      <c r="E112" s="217">
        <v>12</v>
      </c>
      <c r="F112" s="88">
        <f t="shared" ref="F112:F119" si="46">SUM(T112,Z112,AI112,AR112,AX112,BD112,L112)</f>
        <v>70</v>
      </c>
      <c r="G112" s="78">
        <f>SUM(AS112,AJ112)</f>
        <v>40</v>
      </c>
      <c r="H112" s="19"/>
      <c r="I112" s="3"/>
      <c r="J112" s="3"/>
      <c r="K112" s="11"/>
      <c r="L112" s="88"/>
      <c r="M112" s="78"/>
      <c r="N112" s="19"/>
      <c r="O112" s="3"/>
      <c r="P112" s="3"/>
      <c r="Q112" s="3"/>
      <c r="R112" s="11"/>
      <c r="S112" s="11" t="str">
        <f t="shared" si="44"/>
        <v/>
      </c>
      <c r="T112" s="111"/>
      <c r="U112" s="78" t="str">
        <f t="shared" si="45"/>
        <v/>
      </c>
      <c r="V112" s="19">
        <v>0</v>
      </c>
      <c r="W112" s="3">
        <v>0</v>
      </c>
      <c r="X112" s="3">
        <v>77.8</v>
      </c>
      <c r="Y112" s="11">
        <v>0</v>
      </c>
      <c r="Z112" s="88">
        <v>20</v>
      </c>
      <c r="AA112" s="78">
        <v>20</v>
      </c>
      <c r="AB112" s="19">
        <v>4</v>
      </c>
      <c r="AC112" s="19">
        <v>0</v>
      </c>
      <c r="AD112" s="19">
        <v>81.25</v>
      </c>
      <c r="AE112" s="19">
        <v>0</v>
      </c>
      <c r="AF112" s="19">
        <v>0</v>
      </c>
      <c r="AG112" s="19">
        <v>4</v>
      </c>
      <c r="AH112" s="19">
        <v>4</v>
      </c>
      <c r="AI112" s="88">
        <v>25</v>
      </c>
      <c r="AJ112" s="78">
        <v>20</v>
      </c>
      <c r="AK112" s="19">
        <v>0</v>
      </c>
      <c r="AL112" s="19">
        <v>0</v>
      </c>
      <c r="AM112" s="19">
        <v>76.099999999999994</v>
      </c>
      <c r="AN112" s="3">
        <v>0</v>
      </c>
      <c r="AO112" s="3">
        <v>0</v>
      </c>
      <c r="AP112" s="3">
        <v>0</v>
      </c>
      <c r="AQ112" s="3">
        <v>0</v>
      </c>
      <c r="AR112" s="387">
        <v>25</v>
      </c>
      <c r="AS112" s="78">
        <v>20</v>
      </c>
      <c r="AT112" s="19"/>
      <c r="AU112" s="19"/>
      <c r="AV112" s="3"/>
      <c r="AW112" s="3"/>
      <c r="AX112" s="88"/>
      <c r="AY112" s="78"/>
      <c r="AZ112" s="19"/>
      <c r="BA112" s="19"/>
      <c r="BB112" s="3"/>
      <c r="BC112" s="3"/>
      <c r="BD112" s="88"/>
      <c r="BE112" s="78"/>
      <c r="BF112" s="279" t="s">
        <v>491</v>
      </c>
      <c r="BG112" t="str">
        <f t="shared" ref="BG112:BG113" si="47">A112&amp;B112&amp;D112&amp;BF112&amp;$BF$110</f>
        <v>ShaeTweddleGlenshea RiversongSecondary &gt;9120</v>
      </c>
    </row>
    <row r="113" spans="1:59">
      <c r="A113" s="3" t="s">
        <v>148</v>
      </c>
      <c r="B113" s="3" t="s">
        <v>149</v>
      </c>
      <c r="C113" s="206" t="s">
        <v>150</v>
      </c>
      <c r="D113" s="206" t="s">
        <v>151</v>
      </c>
      <c r="E113" s="5"/>
      <c r="F113" s="88">
        <f t="shared" si="46"/>
        <v>39</v>
      </c>
      <c r="G113" s="78">
        <v>39</v>
      </c>
      <c r="H113" s="19"/>
      <c r="I113" s="3"/>
      <c r="J113" s="3"/>
      <c r="K113" s="11"/>
      <c r="L113" s="88"/>
      <c r="M113" s="78"/>
      <c r="N113" s="19">
        <v>4</v>
      </c>
      <c r="O113" s="3">
        <v>53.62</v>
      </c>
      <c r="P113" s="3">
        <v>41.28</v>
      </c>
      <c r="Q113" s="3">
        <v>0</v>
      </c>
      <c r="R113" s="11">
        <v>41.28</v>
      </c>
      <c r="S113" s="11">
        <f t="shared" si="44"/>
        <v>4</v>
      </c>
      <c r="T113" s="111">
        <v>20</v>
      </c>
      <c r="U113" s="78">
        <f t="shared" si="45"/>
        <v>20</v>
      </c>
      <c r="V113" s="25">
        <v>0</v>
      </c>
      <c r="W113" s="3">
        <v>0</v>
      </c>
      <c r="X113" s="3">
        <v>78.19</v>
      </c>
      <c r="Y113" s="11">
        <v>0</v>
      </c>
      <c r="Z113" s="88">
        <v>19</v>
      </c>
      <c r="AA113" s="78">
        <v>19</v>
      </c>
      <c r="AB113" s="19">
        <v>0</v>
      </c>
      <c r="AC113" s="19">
        <v>0</v>
      </c>
      <c r="AD113" s="19">
        <v>0</v>
      </c>
      <c r="AE113" s="19">
        <v>0</v>
      </c>
      <c r="AF113" s="19">
        <v>0</v>
      </c>
      <c r="AG113" s="19">
        <v>0</v>
      </c>
      <c r="AH113" s="19">
        <v>0</v>
      </c>
      <c r="AI113" s="88"/>
      <c r="AJ113" s="78"/>
      <c r="AK113" s="19">
        <v>0</v>
      </c>
      <c r="AL113" s="19">
        <v>0</v>
      </c>
      <c r="AM113" s="19">
        <v>0</v>
      </c>
      <c r="AN113" s="3">
        <v>0</v>
      </c>
      <c r="AO113" s="3">
        <v>0</v>
      </c>
      <c r="AP113" s="3">
        <v>0</v>
      </c>
      <c r="AQ113" s="3">
        <v>0</v>
      </c>
      <c r="AR113" s="387">
        <v>0</v>
      </c>
      <c r="AS113" s="78"/>
      <c r="AT113" s="19"/>
      <c r="AU113" s="19"/>
      <c r="AV113" s="3"/>
      <c r="AW113" s="3"/>
      <c r="AX113" s="88"/>
      <c r="AY113" s="78"/>
      <c r="AZ113" s="19"/>
      <c r="BA113" s="19"/>
      <c r="BB113" s="3"/>
      <c r="BC113" s="3"/>
      <c r="BD113" s="88"/>
      <c r="BE113" s="78"/>
      <c r="BF113" s="279" t="s">
        <v>491</v>
      </c>
      <c r="BG113" t="str">
        <f t="shared" si="47"/>
        <v>HarlowDiamondHe's All WhiteSecondary &gt;9120</v>
      </c>
    </row>
    <row r="114" spans="1:59">
      <c r="A114" s="2"/>
      <c r="B114" s="2"/>
      <c r="C114" s="2"/>
      <c r="D114" s="5"/>
      <c r="E114" s="5"/>
      <c r="F114" s="88">
        <f t="shared" si="46"/>
        <v>0</v>
      </c>
      <c r="G114" s="78"/>
      <c r="H114" s="19"/>
      <c r="I114" s="3"/>
      <c r="J114" s="3"/>
      <c r="K114" s="11"/>
      <c r="L114" s="88"/>
      <c r="M114" s="78"/>
      <c r="N114" s="19"/>
      <c r="O114" s="3"/>
      <c r="P114" s="3"/>
      <c r="Q114" s="3"/>
      <c r="R114" s="11"/>
      <c r="S114" s="11" t="str">
        <f t="shared" si="44"/>
        <v/>
      </c>
      <c r="T114" s="111"/>
      <c r="U114" s="78" t="str">
        <f t="shared" si="45"/>
        <v/>
      </c>
      <c r="V114" s="19"/>
      <c r="W114" s="3"/>
      <c r="X114" s="3"/>
      <c r="Y114" s="11"/>
      <c r="Z114" s="88"/>
      <c r="AA114" s="78"/>
      <c r="AB114" s="19"/>
      <c r="AC114" s="3"/>
      <c r="AD114" s="3"/>
      <c r="AE114" s="3"/>
      <c r="AF114" s="3"/>
      <c r="AG114" s="3"/>
      <c r="AH114" s="3"/>
      <c r="AI114" s="88"/>
      <c r="AJ114" s="78"/>
      <c r="AK114" s="19"/>
      <c r="AL114" s="19"/>
      <c r="AM114" s="19"/>
      <c r="AN114" s="3"/>
      <c r="AO114" s="3"/>
      <c r="AP114" s="3"/>
      <c r="AQ114" s="3"/>
      <c r="AR114" s="387"/>
      <c r="AS114" s="78"/>
      <c r="AT114" s="19"/>
      <c r="AU114" s="19"/>
      <c r="AV114" s="3"/>
      <c r="AW114" s="3"/>
      <c r="AX114" s="88"/>
      <c r="AY114" s="78"/>
      <c r="AZ114" s="19"/>
      <c r="BA114" s="19"/>
      <c r="BB114" s="3"/>
      <c r="BC114" s="3"/>
      <c r="BD114" s="88"/>
      <c r="BE114" s="78"/>
      <c r="BF114" s="279" t="s">
        <v>491</v>
      </c>
    </row>
    <row r="115" spans="1:59">
      <c r="A115" s="2"/>
      <c r="B115" s="2"/>
      <c r="C115" s="2"/>
      <c r="D115" s="5"/>
      <c r="E115" s="5"/>
      <c r="F115" s="88">
        <f t="shared" si="46"/>
        <v>0</v>
      </c>
      <c r="G115" s="78"/>
      <c r="H115" s="19"/>
      <c r="I115" s="3"/>
      <c r="J115" s="3"/>
      <c r="K115" s="11"/>
      <c r="L115" s="88"/>
      <c r="M115" s="78"/>
      <c r="N115" s="19"/>
      <c r="O115" s="3"/>
      <c r="P115" s="3"/>
      <c r="Q115" s="3"/>
      <c r="R115" s="11"/>
      <c r="S115" s="11" t="str">
        <f t="shared" si="44"/>
        <v/>
      </c>
      <c r="T115" s="111"/>
      <c r="U115" s="78" t="str">
        <f t="shared" si="45"/>
        <v/>
      </c>
      <c r="V115" s="19"/>
      <c r="W115" s="3"/>
      <c r="X115" s="3"/>
      <c r="Y115" s="11"/>
      <c r="Z115" s="88"/>
      <c r="AA115" s="78"/>
      <c r="AB115" s="19"/>
      <c r="AC115" s="3"/>
      <c r="AD115" s="3"/>
      <c r="AE115" s="3"/>
      <c r="AF115" s="3"/>
      <c r="AG115" s="3"/>
      <c r="AH115" s="3"/>
      <c r="AI115" s="88"/>
      <c r="AJ115" s="78"/>
      <c r="AK115" s="19"/>
      <c r="AL115" s="19"/>
      <c r="AM115" s="19"/>
      <c r="AN115" s="3"/>
      <c r="AO115" s="3"/>
      <c r="AP115" s="3"/>
      <c r="AQ115" s="3"/>
      <c r="AR115" s="387"/>
      <c r="AS115" s="78"/>
      <c r="AT115" s="19"/>
      <c r="AU115" s="19"/>
      <c r="AV115" s="3"/>
      <c r="AW115" s="3"/>
      <c r="AX115" s="88"/>
      <c r="AY115" s="78"/>
      <c r="AZ115" s="19"/>
      <c r="BA115" s="19"/>
      <c r="BB115" s="3"/>
      <c r="BC115" s="3"/>
      <c r="BD115" s="88"/>
      <c r="BE115" s="78"/>
      <c r="BF115" s="279" t="s">
        <v>491</v>
      </c>
    </row>
    <row r="116" spans="1:59">
      <c r="A116" s="2"/>
      <c r="B116" s="2"/>
      <c r="C116" s="2"/>
      <c r="D116" s="5"/>
      <c r="E116" s="5"/>
      <c r="F116" s="88">
        <f t="shared" si="46"/>
        <v>0</v>
      </c>
      <c r="G116" s="78"/>
      <c r="H116" s="19"/>
      <c r="I116" s="3"/>
      <c r="J116" s="3"/>
      <c r="K116" s="11"/>
      <c r="L116" s="88"/>
      <c r="M116" s="78"/>
      <c r="N116" s="19"/>
      <c r="O116" s="3"/>
      <c r="P116" s="3"/>
      <c r="Q116" s="3"/>
      <c r="R116" s="11"/>
      <c r="S116" s="11" t="str">
        <f t="shared" si="44"/>
        <v/>
      </c>
      <c r="T116" s="111"/>
      <c r="U116" s="78" t="str">
        <f t="shared" si="45"/>
        <v/>
      </c>
      <c r="V116" s="19"/>
      <c r="W116" s="3"/>
      <c r="X116" s="3"/>
      <c r="Y116" s="11"/>
      <c r="Z116" s="88"/>
      <c r="AA116" s="78"/>
      <c r="AB116" s="19"/>
      <c r="AC116" s="3"/>
      <c r="AD116" s="3"/>
      <c r="AE116" s="3"/>
      <c r="AF116" s="3"/>
      <c r="AG116" s="3"/>
      <c r="AH116" s="3"/>
      <c r="AI116" s="88"/>
      <c r="AJ116" s="78"/>
      <c r="AK116" s="19"/>
      <c r="AL116" s="3"/>
      <c r="AM116" s="3"/>
      <c r="AN116" s="3"/>
      <c r="AO116" s="3"/>
      <c r="AP116" s="3"/>
      <c r="AQ116" s="3"/>
      <c r="AR116" s="387"/>
      <c r="AS116" s="78"/>
      <c r="AT116" s="19"/>
      <c r="AU116" s="19"/>
      <c r="AV116" s="3"/>
      <c r="AW116" s="3"/>
      <c r="AX116" s="88"/>
      <c r="AY116" s="78"/>
      <c r="AZ116" s="19"/>
      <c r="BA116" s="19"/>
      <c r="BB116" s="3"/>
      <c r="BC116" s="3"/>
      <c r="BD116" s="88"/>
      <c r="BE116" s="78"/>
      <c r="BF116" s="279" t="s">
        <v>491</v>
      </c>
    </row>
    <row r="117" spans="1:59">
      <c r="A117" s="8"/>
      <c r="B117" s="2"/>
      <c r="C117" s="5"/>
      <c r="D117" s="5"/>
      <c r="E117" s="5"/>
      <c r="F117" s="88">
        <f t="shared" si="46"/>
        <v>0</v>
      </c>
      <c r="G117" s="78"/>
      <c r="H117" s="19"/>
      <c r="I117" s="3"/>
      <c r="J117" s="3"/>
      <c r="K117" s="11"/>
      <c r="L117" s="88"/>
      <c r="M117" s="78"/>
      <c r="N117" s="19"/>
      <c r="O117" s="3"/>
      <c r="P117" s="3"/>
      <c r="Q117" s="3"/>
      <c r="R117" s="11"/>
      <c r="S117" s="11" t="str">
        <f t="shared" si="44"/>
        <v/>
      </c>
      <c r="T117" s="152"/>
      <c r="U117" s="78" t="str">
        <f t="shared" si="45"/>
        <v/>
      </c>
      <c r="V117" s="19"/>
      <c r="W117" s="3"/>
      <c r="X117" s="3"/>
      <c r="Y117" s="11"/>
      <c r="Z117" s="88"/>
      <c r="AA117" s="78"/>
      <c r="AB117" s="19"/>
      <c r="AC117" s="3"/>
      <c r="AD117" s="3"/>
      <c r="AE117" s="3"/>
      <c r="AF117" s="3"/>
      <c r="AG117" s="3"/>
      <c r="AH117" s="3"/>
      <c r="AI117" s="88"/>
      <c r="AJ117" s="78"/>
      <c r="AK117" s="19"/>
      <c r="AL117" s="3"/>
      <c r="AM117" s="3"/>
      <c r="AN117" s="3"/>
      <c r="AO117" s="3"/>
      <c r="AP117" s="3"/>
      <c r="AQ117" s="3"/>
      <c r="AR117" s="387"/>
      <c r="AS117" s="78"/>
      <c r="AT117" s="19"/>
      <c r="AU117" s="19"/>
      <c r="AV117" s="3"/>
      <c r="AW117" s="3"/>
      <c r="AX117" s="155"/>
      <c r="AY117" s="162"/>
      <c r="AZ117" s="19"/>
      <c r="BA117" s="19"/>
      <c r="BB117" s="3"/>
      <c r="BC117" s="3"/>
      <c r="BD117" s="155"/>
      <c r="BE117" s="162"/>
      <c r="BF117" s="279" t="s">
        <v>491</v>
      </c>
    </row>
    <row r="118" spans="1:59">
      <c r="A118" s="2"/>
      <c r="B118" s="2"/>
      <c r="C118" s="2"/>
      <c r="D118" s="71"/>
      <c r="E118" s="71"/>
      <c r="F118" s="88">
        <f t="shared" si="46"/>
        <v>0</v>
      </c>
      <c r="G118" s="78"/>
      <c r="H118" s="19"/>
      <c r="I118" s="3"/>
      <c r="J118" s="3"/>
      <c r="K118" s="11"/>
      <c r="L118" s="88"/>
      <c r="M118" s="78"/>
      <c r="N118" s="19"/>
      <c r="O118" s="3"/>
      <c r="P118" s="3"/>
      <c r="Q118" s="3"/>
      <c r="R118" s="11"/>
      <c r="S118" s="11" t="str">
        <f t="shared" si="44"/>
        <v/>
      </c>
      <c r="T118" s="150"/>
      <c r="U118" s="78" t="str">
        <f t="shared" si="45"/>
        <v/>
      </c>
      <c r="V118" s="19"/>
      <c r="W118" s="3"/>
      <c r="X118" s="3"/>
      <c r="Y118" s="11"/>
      <c r="Z118" s="88"/>
      <c r="AA118" s="78"/>
      <c r="AB118" s="19"/>
      <c r="AC118" s="3"/>
      <c r="AD118" s="3"/>
      <c r="AE118" s="14"/>
      <c r="AF118" s="14"/>
      <c r="AG118" s="14"/>
      <c r="AH118" s="14"/>
      <c r="AI118" s="88"/>
      <c r="AJ118" s="78"/>
      <c r="AK118" s="19"/>
      <c r="AL118" s="3"/>
      <c r="AM118" s="3"/>
      <c r="AN118" s="3"/>
      <c r="AO118" s="3"/>
      <c r="AP118" s="3"/>
      <c r="AQ118" s="3"/>
      <c r="AR118" s="387"/>
      <c r="AS118" s="78"/>
      <c r="AT118" s="19"/>
      <c r="AU118" s="19"/>
      <c r="AV118" s="3"/>
      <c r="AW118" s="3"/>
      <c r="AX118" s="88"/>
      <c r="AY118" s="78"/>
      <c r="AZ118" s="19"/>
      <c r="BA118" s="19"/>
      <c r="BB118" s="3"/>
      <c r="BC118" s="3"/>
      <c r="BD118" s="88"/>
      <c r="BE118" s="78"/>
      <c r="BF118" s="279" t="s">
        <v>491</v>
      </c>
    </row>
    <row r="119" spans="1:59">
      <c r="A119" s="8"/>
      <c r="B119" s="2"/>
      <c r="C119" s="5"/>
      <c r="D119" s="5"/>
      <c r="E119" s="5"/>
      <c r="F119" s="90">
        <f t="shared" si="46"/>
        <v>0</v>
      </c>
      <c r="G119" s="86"/>
      <c r="H119" s="19"/>
      <c r="I119" s="3"/>
      <c r="J119" s="3"/>
      <c r="K119" s="11"/>
      <c r="L119" s="90"/>
      <c r="M119" s="86"/>
      <c r="N119" s="19"/>
      <c r="O119" s="3"/>
      <c r="P119" s="3"/>
      <c r="Q119" s="3"/>
      <c r="R119" s="11"/>
      <c r="S119" s="11" t="str">
        <f t="shared" si="44"/>
        <v/>
      </c>
      <c r="T119" s="151"/>
      <c r="U119" s="78" t="str">
        <f t="shared" si="45"/>
        <v/>
      </c>
      <c r="V119" s="19"/>
      <c r="W119" s="3"/>
      <c r="X119" s="3"/>
      <c r="Y119" s="11"/>
      <c r="Z119" s="90"/>
      <c r="AA119" s="86"/>
      <c r="AB119" s="19"/>
      <c r="AC119" s="3"/>
      <c r="AD119" s="3"/>
      <c r="AE119" s="3"/>
      <c r="AF119" s="3"/>
      <c r="AG119" s="3"/>
      <c r="AH119" s="3"/>
      <c r="AI119" s="90"/>
      <c r="AJ119" s="86"/>
      <c r="AK119" s="19"/>
      <c r="AL119" s="3"/>
      <c r="AM119" s="3"/>
      <c r="AN119" s="3"/>
      <c r="AO119" s="3"/>
      <c r="AP119" s="3"/>
      <c r="AQ119" s="3"/>
      <c r="AR119" s="388"/>
      <c r="AS119" s="86"/>
      <c r="AT119" s="19"/>
      <c r="AU119" s="19"/>
      <c r="AV119" s="3"/>
      <c r="AW119" s="3"/>
      <c r="AX119" s="90"/>
      <c r="AY119" s="86"/>
      <c r="AZ119" s="19"/>
      <c r="BA119" s="19"/>
      <c r="BB119" s="3"/>
      <c r="BC119" s="3"/>
      <c r="BD119" s="90"/>
      <c r="BE119" s="86"/>
      <c r="BF119" s="279" t="s">
        <v>491</v>
      </c>
    </row>
  </sheetData>
  <protectedRanges>
    <protectedRange algorithmName="SHA-512" hashValue="gd6M1j8R2Vcbfm85n99c1D0xjmQvjBlg34UZhxeJx1NLSFqB74OeW1e3isf5ACnAc8NEYyF7OwgEUMDCcurwNA==" saltValue="t3zYNUJUDTdmjGFelNhf8w==" spinCount="100000" sqref="A1:E6 BE30:BE31 BD19:BE29 A56:E56 A9:E9 A19:E20 E7:E8 A48:D48 A21:D21 A36:E42 A35:C35 E43:E47 E22 A23:E23 A14:E17 A27:E34 E90:E91 E60:E66 A62:D62 E72:E77 A83:D86 V32:BE32 A67:E67 C71 A78:E78 C75:C76 E71:N71 A92:E92 A58:E59 E57 E10:E13 E24:E26 F1:G67 J72:J75 J77:J78 L10:N14 H1:N9 K72:N78 H15:N67 S97:BE97 S96:AJ96 S84:AA84 S1:AQ4 S7:U67 V7:AA14 V19:X20 W21:X21 V22:X23 Z19:AA19 Y19:Y23 V25:Y31 S83:XFD83 O83:R1048576 E83:E88 A82:XFD82 S5:AA5 AI5:AJ5 Z31:BC31 AE29:AH30 V39:BE40 V34:AD34 AE37:AH38 V59:AD59 S70:AD70 E81:AH81 S85:AD85 S108:BE109 S99:AD99 AE106:AH107 S120:XFD1048576 S111:AD111 AE118:AH119 AB8:AH13 Z27:AD30 Z26:AA26 Z21:AA22 Z25:AD25 Z24:AA24 V36:AD38 V35:AA35 V33:AA33 V41:AA41 V58:AA58 AI59:BE59 AR69:XFD69 S69:AA69 AI69:AJ69 S98:AA98 S110:AA110 BF96:BF98 BF108:BF110 BG42:XFD51 BG59:BL66 BG85:XFD119 AI19:AJ19 AI33:AJ33 AI41:AJ41 AI58:AJ58 AI84:AJ84 AI98:AJ98 AI110:AJ110 BF27:XFD33 BF39:XFD41 BF17:XFD19 V15:BE18 S6:BE6 BG6:XFD16 BG20:XFD26 BG34:XFD38 V42:AD43 AE43:AH43 S71:AH78 S86:AH95 S105:AD107 BG70:XFD81 S112:AH113 D61 S100:AH104 V56:BE57 BF56:BL58 BG52:BL55 BM52:XFD66 AI88:AJ88 AB7:AI7 AR85:BE92 Z20:BC20 AI34:BE34 AI42:BE47 V67:XFD67 AI70:BE71 AI85:AQ87 AK88:AQ96 AI99:BE101 AI111:BE111 AI8:AI10 AI21:AI22 AI24 AK24:AR24 AI36:BE38 AI35 AK35:AR35 AI51:BE53 AI48:AI50 AI55:BE55 AI54 AK54:AR54 V60:AI66 AK60:BE60 AI75:BE75 AI72:AI74 AI78:BE81 AI76:AI77 AI90:AJ90 AI89 AI92:AJ92 AI91 AI94:AJ95 AI93 AI105:BE107 AI102:AI104 AK102:BE102 AI113:BE119 AI112 AK112:AR112 AT112:BE112 AK103:AR104 AT103:BE104 AR93 AT93:BE93 AK76:AR76 AK72:AR74 AK64:BE66 AK61:AR63 AT61:BE63 AT54:BE54 AK48:AR50 AT35:BE35 AT24:BC24 AK7:AR10 G72:I78 A109:N1048576 S114:AD119 AT48:BE50 Z23:BC23 AK21:BC22 AI11:BE14 AT7:BE10 AI25:BC30 AR1:XFD5 AR19:BC19 AR33:BE33 AR41:BE41 AR58:BE58 O1:R78 A68:N70 AR84:XFD84 AR98:BE98 AR110:BE110 AT72:BE74 AT76:BE76 AK77:BE77 S68:XFD68 V44:Y55 AB44:AH55 Z46:AA55 Z44 AA44:AA45 E79:E80 G79:AH80 F72:F80 F83:N108 E93:E103 A105:E108 A95:D102 AR94:BE96" name="Range1"/>
    <protectedRange algorithmName="SHA-512" hashValue="Apnk9LEbYxRpSZcjU97H6doUg/5csDURqMcDtbiOpYdX3f6l5Yvzsxaqv13NMtippi1Z0/Pw9Etvtktb0idoXQ==" saltValue="0XBid9/n7HrDOp1hu6OxVA==" spinCount="100000" sqref="A43:D43" name="Range1_1_1"/>
    <protectedRange algorithmName="SHA-512" hashValue="Apnk9LEbYxRpSZcjU97H6doUg/5csDURqMcDtbiOpYdX3f6l5Yvzsxaqv13NMtippi1Z0/Pw9Etvtktb0idoXQ==" saltValue="0XBid9/n7HrDOp1hu6OxVA==" spinCount="100000" sqref="A71:B71 D71" name="Range1_9"/>
    <protectedRange algorithmName="SHA-512" hashValue="Apnk9LEbYxRpSZcjU97H6doUg/5csDURqMcDtbiOpYdX3f6l5Yvzsxaqv13NMtippi1Z0/Pw9Etvtktb0idoXQ==" saltValue="0XBid9/n7HrDOp1hu6OxVA==" spinCount="100000" sqref="A7:D7" name="Range1_1"/>
    <protectedRange algorithmName="SHA-512" hashValue="Apnk9LEbYxRpSZcjU97H6doUg/5csDURqMcDtbiOpYdX3f6l5Yvzsxaqv13NMtippi1Z0/Pw9Etvtktb0idoXQ==" saltValue="0XBid9/n7HrDOp1hu6OxVA==" spinCount="100000" sqref="A87:D87" name="Range1_2"/>
    <protectedRange algorithmName="SHA-512" hashValue="Apnk9LEbYxRpSZcjU97H6doUg/5csDURqMcDtbiOpYdX3f6l5Yvzsxaqv13NMtippi1Z0/Pw9Etvtktb0idoXQ==" saltValue="0XBid9/n7HrDOp1hu6OxVA==" spinCount="100000" sqref="A103:D103" name="Range1_3"/>
    <protectedRange algorithmName="SHA-512" hashValue="Apnk9LEbYxRpSZcjU97H6doUg/5csDURqMcDtbiOpYdX3f6l5Yvzsxaqv13NMtippi1Z0/Pw9Etvtktb0idoXQ==" saltValue="0XBid9/n7HrDOp1hu6OxVA==" spinCount="100000" sqref="A72:D72" name="Range1_4"/>
    <protectedRange algorithmName="SHA-512" hashValue="Apnk9LEbYxRpSZcjU97H6doUg/5csDURqMcDtbiOpYdX3f6l5Yvzsxaqv13NMtippi1Z0/Pw9Etvtktb0idoXQ==" saltValue="0XBid9/n7HrDOp1hu6OxVA==" spinCount="100000" sqref="A88:D88" name="Range1_5"/>
    <protectedRange algorithmName="SHA-512" hashValue="Apnk9LEbYxRpSZcjU97H6doUg/5csDURqMcDtbiOpYdX3f6l5Yvzsxaqv13NMtippi1Z0/Pw9Etvtktb0idoXQ==" saltValue="0XBid9/n7HrDOp1hu6OxVA==" spinCount="100000" sqref="A73:D73" name="Range1_6"/>
    <protectedRange algorithmName="SHA-512" hashValue="Apnk9LEbYxRpSZcjU97H6doUg/5csDURqMcDtbiOpYdX3f6l5Yvzsxaqv13NMtippi1Z0/Pw9Etvtktb0idoXQ==" saltValue="0XBid9/n7HrDOp1hu6OxVA==" spinCount="100000" sqref="A45:B45 D45" name="Range1_7"/>
    <protectedRange algorithmName="SHA-512" hashValue="Apnk9LEbYxRpSZcjU97H6doUg/5csDURqMcDtbiOpYdX3f6l5Yvzsxaqv13NMtippi1Z0/Pw9Etvtktb0idoXQ==" saltValue="0XBid9/n7HrDOp1hu6OxVA==" spinCount="100000" sqref="C45" name="Range1_1_1_1"/>
    <protectedRange algorithmName="SHA-512" hashValue="Apnk9LEbYxRpSZcjU97H6doUg/5csDURqMcDtbiOpYdX3f6l5Yvzsxaqv13NMtippi1Z0/Pw9Etvtktb0idoXQ==" saltValue="0XBid9/n7HrDOp1hu6OxVA==" spinCount="100000" sqref="A46:D46" name="Range1_8"/>
    <protectedRange algorithmName="SHA-512" hashValue="NAZD3qgxdrlzabacLBE6e7h5ZmXY7wxINVLTXmDWPfUES+YR2V1HNj/E15OhYFiJLVmWPKJ0egYjXUfTOKONZg==" saltValue="Ncxfyc7xk9aUc4+aZopcog==" spinCount="100000" sqref="D47" name="Range1_10"/>
    <protectedRange algorithmName="SHA-512" hashValue="Apnk9LEbYxRpSZcjU97H6doUg/5csDURqMcDtbiOpYdX3f6l5Yvzsxaqv13NMtippi1Z0/Pw9Etvtktb0idoXQ==" saltValue="0XBid9/n7HrDOp1hu6OxVA==" spinCount="100000" sqref="A47:C47" name="Range1_10_1"/>
    <protectedRange algorithmName="SHA-512" hashValue="Apnk9LEbYxRpSZcjU97H6doUg/5csDURqMcDtbiOpYdX3f6l5Yvzsxaqv13NMtippi1Z0/Pw9Etvtktb0idoXQ==" saltValue="0XBid9/n7HrDOp1hu6OxVA==" spinCount="100000" sqref="A8:B8 D8" name="Range1_11"/>
    <protectedRange algorithmName="SHA-512" hashValue="Apnk9LEbYxRpSZcjU97H6doUg/5csDURqMcDtbiOpYdX3f6l5Yvzsxaqv13NMtippi1Z0/Pw9Etvtktb0idoXQ==" saltValue="0XBid9/n7HrDOp1hu6OxVA==" spinCount="100000" sqref="C8" name="Range1_10_2"/>
    <protectedRange algorithmName="SHA-512" hashValue="Apnk9LEbYxRpSZcjU97H6doUg/5csDURqMcDtbiOpYdX3f6l5Yvzsxaqv13NMtippi1Z0/Pw9Etvtktb0idoXQ==" saltValue="0XBid9/n7HrDOp1hu6OxVA==" spinCount="100000" sqref="A22:B22 D22" name="Range1_12"/>
    <protectedRange algorithmName="SHA-512" hashValue="Apnk9LEbYxRpSZcjU97H6doUg/5csDURqMcDtbiOpYdX3f6l5Yvzsxaqv13NMtippi1Z0/Pw9Etvtktb0idoXQ==" saltValue="0XBid9/n7HrDOp1hu6OxVA==" spinCount="100000" sqref="C22" name="Range1_10_3"/>
    <protectedRange algorithmName="SHA-512" hashValue="Apnk9LEbYxRpSZcjU97H6doUg/5csDURqMcDtbiOpYdX3f6l5Yvzsxaqv13NMtippi1Z0/Pw9Etvtktb0idoXQ==" saltValue="0XBid9/n7HrDOp1hu6OxVA==" spinCount="100000" sqref="A52:D52" name="Range1_13"/>
    <protectedRange algorithmName="SHA-512" hashValue="Apnk9LEbYxRpSZcjU97H6doUg/5csDURqMcDtbiOpYdX3f6l5Yvzsxaqv13NMtippi1Z0/Pw9Etvtktb0idoXQ==" saltValue="0XBid9/n7HrDOp1hu6OxVA==" spinCount="100000" sqref="A89:D89" name="Range1_14"/>
    <protectedRange algorithmName="SHA-512" hashValue="Apnk9LEbYxRpSZcjU97H6doUg/5csDURqMcDtbiOpYdX3f6l5Yvzsxaqv13NMtippi1Z0/Pw9Etvtktb0idoXQ==" saltValue="0XBid9/n7HrDOp1hu6OxVA==" spinCount="100000" sqref="A104:D104" name="Range1_15"/>
    <protectedRange algorithmName="SHA-512" hashValue="Apnk9LEbYxRpSZcjU97H6doUg/5csDURqMcDtbiOpYdX3f6l5Yvzsxaqv13NMtippi1Z0/Pw9Etvtktb0idoXQ==" saltValue="0XBid9/n7HrDOp1hu6OxVA==" spinCount="100000" sqref="E21" name="Range1_17"/>
    <protectedRange algorithmName="SHA-512" hashValue="Apnk9LEbYxRpSZcjU97H6doUg/5csDURqMcDtbiOpYdX3f6l5Yvzsxaqv13NMtippi1Z0/Pw9Etvtktb0idoXQ==" saltValue="0XBid9/n7HrDOp1hu6OxVA==" spinCount="100000" sqref="E35" name="Range1_18"/>
    <protectedRange algorithmName="SHA-512" hashValue="Apnk9LEbYxRpSZcjU97H6doUg/5csDURqMcDtbiOpYdX3f6l5Yvzsxaqv13NMtippi1Z0/Pw9Etvtktb0idoXQ==" saltValue="0XBid9/n7HrDOp1hu6OxVA==" spinCount="100000" sqref="E89" name="Range1_19"/>
    <protectedRange algorithmName="SHA-512" hashValue="Apnk9LEbYxRpSZcjU97H6doUg/5csDURqMcDtbiOpYdX3f6l5Yvzsxaqv13NMtippi1Z0/Pw9Etvtktb0idoXQ==" saltValue="0XBid9/n7HrDOp1hu6OxVA==" spinCount="100000" sqref="E104" name="Range1_20"/>
    <protectedRange algorithmName="SHA-512" hashValue="Apnk9LEbYxRpSZcjU97H6doUg/5csDURqMcDtbiOpYdX3f6l5Yvzsxaqv13NMtippi1Z0/Pw9Etvtktb0idoXQ==" saltValue="0XBid9/n7HrDOp1hu6OxVA==" spinCount="100000" sqref="E48 E55" name="Range1_21"/>
    <protectedRange algorithmName="SHA-512" hashValue="Apnk9LEbYxRpSZcjU97H6doUg/5csDURqMcDtbiOpYdX3f6l5Yvzsxaqv13NMtippi1Z0/Pw9Etvtktb0idoXQ==" saltValue="0XBid9/n7HrDOp1hu6OxVA==" spinCount="100000" sqref="A51:D51 E52:E54" name="Range1_23"/>
    <protectedRange algorithmName="SHA-512" hashValue="Apnk9LEbYxRpSZcjU97H6doUg/5csDURqMcDtbiOpYdX3f6l5Yvzsxaqv13NMtippi1Z0/Pw9Etvtktb0idoXQ==" saltValue="0XBid9/n7HrDOp1hu6OxVA==" spinCount="100000" sqref="A49:E49 E50:E51" name="Range1_21_1"/>
    <protectedRange algorithmName="SHA-512" hashValue="Apnk9LEbYxRpSZcjU97H6doUg/5csDURqMcDtbiOpYdX3f6l5Yvzsxaqv13NMtippi1Z0/Pw9Etvtktb0idoXQ==" saltValue="0XBid9/n7HrDOp1hu6OxVA==" spinCount="100000" sqref="A74:D74" name="Range1_47"/>
    <protectedRange algorithmName="SHA-512" hashValue="Apnk9LEbYxRpSZcjU97H6doUg/5csDURqMcDtbiOpYdX3f6l5Yvzsxaqv13NMtippi1Z0/Pw9Etvtktb0idoXQ==" saltValue="0XBid9/n7HrDOp1hu6OxVA==" spinCount="100000" sqref="A90:D90" name="Range1_47_1"/>
    <protectedRange algorithmName="SHA-512" hashValue="Apnk9LEbYxRpSZcjU97H6doUg/5csDURqMcDtbiOpYdX3f6l5Yvzsxaqv13NMtippi1Z0/Pw9Etvtktb0idoXQ==" saltValue="0XBid9/n7HrDOp1hu6OxVA==" spinCount="100000" sqref="A10:D10" name="Range1_22"/>
    <protectedRange algorithmName="SHA-512" hashValue="Apnk9LEbYxRpSZcjU97H6doUg/5csDURqMcDtbiOpYdX3f6l5Yvzsxaqv13NMtippi1Z0/Pw9Etvtktb0idoXQ==" saltValue="0XBid9/n7HrDOp1hu6OxVA==" spinCount="100000" sqref="A24:C24" name="Range1_24"/>
    <protectedRange algorithmName="SHA-512" hashValue="Apnk9LEbYxRpSZcjU97H6doUg/5csDURqMcDtbiOpYdX3f6l5Yvzsxaqv13NMtippi1Z0/Pw9Etvtktb0idoXQ==" saltValue="0XBid9/n7HrDOp1hu6OxVA==" spinCount="100000" sqref="A76:B76 A50:D50 D76" name="Range1_27"/>
    <protectedRange algorithmName="SHA-512" hashValue="Apnk9LEbYxRpSZcjU97H6doUg/5csDURqMcDtbiOpYdX3f6l5Yvzsxaqv13NMtippi1Z0/Pw9Etvtktb0idoXQ==" saltValue="0XBid9/n7HrDOp1hu6OxVA==" spinCount="100000" sqref="A75:B75 D75" name="Range1_25"/>
    <protectedRange algorithmName="SHA-512" hashValue="Apnk9LEbYxRpSZcjU97H6doUg/5csDURqMcDtbiOpYdX3f6l5Yvzsxaqv13NMtippi1Z0/Pw9Etvtktb0idoXQ==" saltValue="0XBid9/n7HrDOp1hu6OxVA==" spinCount="100000" sqref="A91:D91" name="Range1_26"/>
    <protectedRange algorithmName="SHA-512" hashValue="Apnk9LEbYxRpSZcjU97H6doUg/5csDURqMcDtbiOpYdX3f6l5Yvzsxaqv13NMtippi1Z0/Pw9Etvtktb0idoXQ==" saltValue="0XBid9/n7HrDOp1hu6OxVA==" spinCount="100000" sqref="C54 C65" name="Range1_64"/>
    <protectedRange algorithmName="SHA-512" hashValue="Apnk9LEbYxRpSZcjU97H6doUg/5csDURqMcDtbiOpYdX3f6l5Yvzsxaqv13NMtippi1Z0/Pw9Etvtktb0idoXQ==" saltValue="0XBid9/n7HrDOp1hu6OxVA==" spinCount="100000" sqref="A55:D55" name="Range1_30"/>
    <protectedRange algorithmName="SHA-512" hashValue="Apnk9LEbYxRpSZcjU97H6doUg/5csDURqMcDtbiOpYdX3f6l5Yvzsxaqv13NMtippi1Z0/Pw9Etvtktb0idoXQ==" saltValue="0XBid9/n7HrDOp1hu6OxVA==" spinCount="100000" sqref="A63:D64" name="Range1_30_1"/>
    <protectedRange algorithmName="SHA-512" hashValue="Apnk9LEbYxRpSZcjU97H6doUg/5csDURqMcDtbiOpYdX3f6l5Yvzsxaqv13NMtippi1Z0/Pw9Etvtktb0idoXQ==" saltValue="0XBid9/n7HrDOp1hu6OxVA==" spinCount="100000" sqref="C11" name="Range1_10_4"/>
    <protectedRange algorithmName="SHA-512" hashValue="gd6M1j8R2Vcbfm85n99c1D0xjmQvjBlg34UZhxeJx1NLSFqB74OeW1e3isf5ACnAc8NEYyF7OwgEUMDCcurwNA==" saltValue="t3zYNUJUDTdmjGFelNhf8w==" spinCount="100000" sqref="A11:B11 D11" name="Range1_31"/>
    <protectedRange algorithmName="SHA-512" hashValue="Apnk9LEbYxRpSZcjU97H6doUg/5csDURqMcDtbiOpYdX3f6l5Yvzsxaqv13NMtippi1Z0/Pw9Etvtktb0idoXQ==" saltValue="0XBid9/n7HrDOp1hu6OxVA==" spinCount="100000" sqref="C25" name="Range1_10_5"/>
    <protectedRange algorithmName="SHA-512" hashValue="gd6M1j8R2Vcbfm85n99c1D0xjmQvjBlg34UZhxeJx1NLSFqB74OeW1e3isf5ACnAc8NEYyF7OwgEUMDCcurwNA==" saltValue="t3zYNUJUDTdmjGFelNhf8w==" spinCount="100000" sqref="A25:B25 D25" name="Range1_31_1"/>
    <protectedRange algorithmName="SHA-512" hashValue="Apnk9LEbYxRpSZcjU97H6doUg/5csDURqMcDtbiOpYdX3f6l5Yvzsxaqv13NMtippi1Z0/Pw9Etvtktb0idoXQ==" saltValue="0XBid9/n7HrDOp1hu6OxVA==" spinCount="100000" sqref="A12:D12" name="Range1_8_1"/>
    <protectedRange algorithmName="SHA-512" hashValue="Apnk9LEbYxRpSZcjU97H6doUg/5csDURqMcDtbiOpYdX3f6l5Yvzsxaqv13NMtippi1Z0/Pw9Etvtktb0idoXQ==" saltValue="0XBid9/n7HrDOp1hu6OxVA==" spinCount="100000" sqref="C57 C53" name="Range1_68"/>
    <protectedRange algorithmName="SHA-512" hashValue="Apnk9LEbYxRpSZcjU97H6doUg/5csDURqMcDtbiOpYdX3f6l5Yvzsxaqv13NMtippi1Z0/Pw9Etvtktb0idoXQ==" saltValue="0XBid9/n7HrDOp1hu6OxVA==" spinCount="100000" sqref="A13:D13" name="Range1_16"/>
    <protectedRange algorithmName="SHA-512" hashValue="Apnk9LEbYxRpSZcjU97H6doUg/5csDURqMcDtbiOpYdX3f6l5Yvzsxaqv13NMtippi1Z0/Pw9Etvtktb0idoXQ==" saltValue="0XBid9/n7HrDOp1hu6OxVA==" spinCount="100000" sqref="A26:D26" name="Range1_28"/>
    <protectedRange algorithmName="SHA-512" hashValue="Apnk9LEbYxRpSZcjU97H6doUg/5csDURqMcDtbiOpYdX3f6l5Yvzsxaqv13NMtippi1Z0/Pw9Etvtktb0idoXQ==" saltValue="0XBid9/n7HrDOp1hu6OxVA==" spinCount="100000" sqref="A93:D93 A77:D77" name="Range1_29"/>
    <protectedRange algorithmName="SHA-512" hashValue="gd6M1j8R2Vcbfm85n99c1D0xjmQvjBlg34UZhxeJx1NLSFqB74OeW1e3isf5ACnAc8NEYyF7OwgEUMDCcurwNA==" saltValue="t3zYNUJUDTdmjGFelNhf8w==" spinCount="100000" sqref="AB5:AH5 AB19:AH19 AB33:AH33 AB41:AH41 AB58:AH58 AB69:AH69 AB84:AH84 AB98:AH98 AB110:AH110 AK5:AQ5 AK19:AQ19 AK33:AQ33 AK41:AQ41 AK58:AQ58 AK69:AQ69 AK84:AQ84 AK98:AQ98 AK110:AQ110" name="Range1_32"/>
    <protectedRange algorithmName="SHA-512" hashValue="gd6M1j8R2Vcbfm85n99c1D0xjmQvjBlg34UZhxeJx1NLSFqB74OeW1e3isf5ACnAc8NEYyF7OwgEUMDCcurwNA==" saltValue="t3zYNUJUDTdmjGFelNhf8w==" spinCount="100000" sqref="AB21:AH21" name="Range1_33"/>
    <protectedRange algorithmName="SHA-512" hashValue="gd6M1j8R2Vcbfm85n99c1D0xjmQvjBlg34UZhxeJx1NLSFqB74OeW1e3isf5ACnAc8NEYyF7OwgEUMDCcurwNA==" saltValue="t3zYNUJUDTdmjGFelNhf8w==" spinCount="100000" sqref="AB26:AH26" name="Range1_34"/>
    <protectedRange algorithmName="SHA-512" hashValue="gd6M1j8R2Vcbfm85n99c1D0xjmQvjBlg34UZhxeJx1NLSFqB74OeW1e3isf5ACnAc8NEYyF7OwgEUMDCcurwNA==" saltValue="t3zYNUJUDTdmjGFelNhf8w==" spinCount="100000" sqref="AB22:AH22" name="Range1_35"/>
    <protectedRange algorithmName="SHA-512" hashValue="gd6M1j8R2Vcbfm85n99c1D0xjmQvjBlg34UZhxeJx1NLSFqB74OeW1e3isf5ACnAc8NEYyF7OwgEUMDCcurwNA==" saltValue="t3zYNUJUDTdmjGFelNhf8w==" spinCount="100000" sqref="AB24:AH24" name="Range1_36"/>
    <protectedRange algorithmName="SHA-512" hashValue="gd6M1j8R2Vcbfm85n99c1D0xjmQvjBlg34UZhxeJx1NLSFqB74OeW1e3isf5ACnAc8NEYyF7OwgEUMDCcurwNA==" saltValue="t3zYNUJUDTdmjGFelNhf8w==" spinCount="100000" sqref="AB35:AH35" name="Range1_37"/>
    <protectedRange algorithmName="SHA-512" hashValue="gd6M1j8R2Vcbfm85n99c1D0xjmQvjBlg34UZhxeJx1NLSFqB74OeW1e3isf5ACnAc8NEYyF7OwgEUMDCcurwNA==" saltValue="t3zYNUJUDTdmjGFelNhf8w==" spinCount="100000" sqref="BF42:BF55" name="Range1_39"/>
    <protectedRange algorithmName="SHA-512" hashValue="gd6M1j8R2Vcbfm85n99c1D0xjmQvjBlg34UZhxeJx1NLSFqB74OeW1e3isf5ACnAc8NEYyF7OwgEUMDCcurwNA==" saltValue="t3zYNUJUDTdmjGFelNhf8w==" spinCount="100000" sqref="BF59:BF66" name="Range1_40"/>
    <protectedRange algorithmName="SHA-512" hashValue="gd6M1j8R2Vcbfm85n99c1D0xjmQvjBlg34UZhxeJx1NLSFqB74OeW1e3isf5ACnAc8NEYyF7OwgEUMDCcurwNA==" saltValue="t3zYNUJUDTdmjGFelNhf8w==" spinCount="100000" sqref="BF70:BF81" name="Range1_42"/>
    <protectedRange algorithmName="SHA-512" hashValue="gd6M1j8R2Vcbfm85n99c1D0xjmQvjBlg34UZhxeJx1NLSFqB74OeW1e3isf5ACnAc8NEYyF7OwgEUMDCcurwNA==" saltValue="t3zYNUJUDTdmjGFelNhf8w==" spinCount="100000" sqref="BF85:BF95 BF99:BF107 BF111:BF119" name="Range1_44"/>
    <protectedRange algorithmName="SHA-512" hashValue="gd6M1j8R2Vcbfm85n99c1D0xjmQvjBlg34UZhxeJx1NLSFqB74OeW1e3isf5ACnAc8NEYyF7OwgEUMDCcurwNA==" saltValue="t3zYNUJUDTdmjGFelNhf8w==" spinCount="100000" sqref="BF20" name="Range1_45"/>
    <protectedRange algorithmName="SHA-512" hashValue="gd6M1j8R2Vcbfm85n99c1D0xjmQvjBlg34UZhxeJx1NLSFqB74OeW1e3isf5ACnAc8NEYyF7OwgEUMDCcurwNA==" saltValue="t3zYNUJUDTdmjGFelNhf8w==" spinCount="100000" sqref="BF21" name="Range1_46"/>
    <protectedRange algorithmName="SHA-512" hashValue="gd6M1j8R2Vcbfm85n99c1D0xjmQvjBlg34UZhxeJx1NLSFqB74OeW1e3isf5ACnAc8NEYyF7OwgEUMDCcurwNA==" saltValue="t3zYNUJUDTdmjGFelNhf8w==" spinCount="100000" sqref="BF22" name="Range1_48"/>
    <protectedRange algorithmName="SHA-512" hashValue="gd6M1j8R2Vcbfm85n99c1D0xjmQvjBlg34UZhxeJx1NLSFqB74OeW1e3isf5ACnAc8NEYyF7OwgEUMDCcurwNA==" saltValue="t3zYNUJUDTdmjGFelNhf8w==" spinCount="100000" sqref="BF23" name="Range1_49"/>
    <protectedRange algorithmName="SHA-512" hashValue="gd6M1j8R2Vcbfm85n99c1D0xjmQvjBlg34UZhxeJx1NLSFqB74OeW1e3isf5ACnAc8NEYyF7OwgEUMDCcurwNA==" saltValue="t3zYNUJUDTdmjGFelNhf8w==" spinCount="100000" sqref="BF24" name="Range1_50"/>
    <protectedRange algorithmName="SHA-512" hashValue="gd6M1j8R2Vcbfm85n99c1D0xjmQvjBlg34UZhxeJx1NLSFqB74OeW1e3isf5ACnAc8NEYyF7OwgEUMDCcurwNA==" saltValue="t3zYNUJUDTdmjGFelNhf8w==" spinCount="100000" sqref="BF25:BF26 BF34:BF38 BF6:BF16" name="Range1_51"/>
    <protectedRange algorithmName="SHA-512" hashValue="gd6M1j8R2Vcbfm85n99c1D0xjmQvjBlg34UZhxeJx1NLSFqB74OeW1e3isf5ACnAc8NEYyF7OwgEUMDCcurwNA==" saltValue="t3zYNUJUDTdmjGFelNhf8w==" spinCount="100000" sqref="D24 D35" name="Range1_58"/>
    <protectedRange algorithmName="SHA-512" hashValue="Apnk9LEbYxRpSZcjU97H6doUg/5csDURqMcDtbiOpYdX3f6l5Yvzsxaqv13NMtippi1Z0/Pw9Etvtktb0idoXQ==" saltValue="0XBid9/n7HrDOp1hu6OxVA==" spinCount="100000" sqref="AJ7" name="Range1_59"/>
    <protectedRange algorithmName="SHA-512" hashValue="Apnk9LEbYxRpSZcjU97H6doUg/5csDURqMcDtbiOpYdX3f6l5Yvzsxaqv13NMtippi1Z0/Pw9Etvtktb0idoXQ==" saltValue="0XBid9/n7HrDOp1hu6OxVA==" spinCount="100000" sqref="AJ8" name="Range1_60"/>
    <protectedRange algorithmName="SHA-512" hashValue="Apnk9LEbYxRpSZcjU97H6doUg/5csDURqMcDtbiOpYdX3f6l5Yvzsxaqv13NMtippi1Z0/Pw9Etvtktb0idoXQ==" saltValue="0XBid9/n7HrDOp1hu6OxVA==" spinCount="100000" sqref="AJ9" name="Range1_61"/>
    <protectedRange algorithmName="SHA-512" hashValue="Apnk9LEbYxRpSZcjU97H6doUg/5csDURqMcDtbiOpYdX3f6l5Yvzsxaqv13NMtippi1Z0/Pw9Etvtktb0idoXQ==" saltValue="0XBid9/n7HrDOp1hu6OxVA==" spinCount="100000" sqref="AJ10" name="Range1_62"/>
    <protectedRange algorithmName="SHA-512" hashValue="Apnk9LEbYxRpSZcjU97H6doUg/5csDURqMcDtbiOpYdX3f6l5Yvzsxaqv13NMtippi1Z0/Pw9Etvtktb0idoXQ==" saltValue="0XBid9/n7HrDOp1hu6OxVA==" spinCount="100000" sqref="AJ21" name="Range1_63"/>
    <protectedRange algorithmName="SHA-512" hashValue="Apnk9LEbYxRpSZcjU97H6doUg/5csDURqMcDtbiOpYdX3f6l5Yvzsxaqv13NMtippi1Z0/Pw9Etvtktb0idoXQ==" saltValue="0XBid9/n7HrDOp1hu6OxVA==" spinCount="100000" sqref="AJ22" name="Range1_65"/>
    <protectedRange algorithmName="SHA-512" hashValue="Apnk9LEbYxRpSZcjU97H6doUg/5csDURqMcDtbiOpYdX3f6l5Yvzsxaqv13NMtippi1Z0/Pw9Etvtktb0idoXQ==" saltValue="0XBid9/n7HrDOp1hu6OxVA==" spinCount="100000" sqref="AJ24" name="Range1_66"/>
    <protectedRange algorithmName="SHA-512" hashValue="Apnk9LEbYxRpSZcjU97H6doUg/5csDURqMcDtbiOpYdX3f6l5Yvzsxaqv13NMtippi1Z0/Pw9Etvtktb0idoXQ==" saltValue="0XBid9/n7HrDOp1hu6OxVA==" spinCount="100000" sqref="AJ35" name="Range1_67"/>
    <protectedRange algorithmName="SHA-512" hashValue="Apnk9LEbYxRpSZcjU97H6doUg/5csDURqMcDtbiOpYdX3f6l5Yvzsxaqv13NMtippi1Z0/Pw9Etvtktb0idoXQ==" saltValue="0XBid9/n7HrDOp1hu6OxVA==" spinCount="100000" sqref="AJ48:AJ50 AJ54 AJ60:AJ66 AJ72:AJ74 AJ76:AJ77 AJ89 AJ91 AJ93 AJ102:AJ104 AJ112 AS112 AS103:AS104 AS93 AS76 AS72:AS74 AS61:AS63 AS54 AS48:AS50 AS35 AS24 AS7:AS10" name="Range1_69"/>
  </protectedRanges>
  <sortState xmlns:xlrd2="http://schemas.microsoft.com/office/spreadsheetml/2017/richdata2" ref="A21:BE26">
    <sortCondition ref="A21:A26"/>
  </sortState>
  <mergeCells count="73">
    <mergeCell ref="AZ83:BE83"/>
    <mergeCell ref="AZ97:BE97"/>
    <mergeCell ref="AZ18:BE18"/>
    <mergeCell ref="AZ32:BE32"/>
    <mergeCell ref="AZ40:BE40"/>
    <mergeCell ref="AZ57:BE57"/>
    <mergeCell ref="AZ68:BE68"/>
    <mergeCell ref="AT18:AY18"/>
    <mergeCell ref="AT32:AY32"/>
    <mergeCell ref="AT40:AY40"/>
    <mergeCell ref="AT57:AY57"/>
    <mergeCell ref="AT83:AY83"/>
    <mergeCell ref="AT68:AY68"/>
    <mergeCell ref="H18:M18"/>
    <mergeCell ref="AB18:AJ18"/>
    <mergeCell ref="AK32:AS32"/>
    <mergeCell ref="AK40:AS40"/>
    <mergeCell ref="AK57:AS57"/>
    <mergeCell ref="AB32:AJ32"/>
    <mergeCell ref="AB40:AJ40"/>
    <mergeCell ref="AB57:AJ57"/>
    <mergeCell ref="AK18:AS18"/>
    <mergeCell ref="V18:AA18"/>
    <mergeCell ref="V32:AA32"/>
    <mergeCell ref="V40:AA40"/>
    <mergeCell ref="V57:AA57"/>
    <mergeCell ref="H32:M32"/>
    <mergeCell ref="H40:M40"/>
    <mergeCell ref="H57:M57"/>
    <mergeCell ref="N18:U18"/>
    <mergeCell ref="N32:U32"/>
    <mergeCell ref="N40:U40"/>
    <mergeCell ref="N57:U57"/>
    <mergeCell ref="N83:U83"/>
    <mergeCell ref="N68:U68"/>
    <mergeCell ref="H83:M83"/>
    <mergeCell ref="A98:E98"/>
    <mergeCell ref="A84:E84"/>
    <mergeCell ref="A69:E69"/>
    <mergeCell ref="H68:M68"/>
    <mergeCell ref="H97:M97"/>
    <mergeCell ref="A19:E19"/>
    <mergeCell ref="A5:E5"/>
    <mergeCell ref="A33:E33"/>
    <mergeCell ref="A41:E41"/>
    <mergeCell ref="A58:E58"/>
    <mergeCell ref="AZ4:BE4"/>
    <mergeCell ref="AK4:AS4"/>
    <mergeCell ref="A3:D3"/>
    <mergeCell ref="AB4:AJ4"/>
    <mergeCell ref="AT4:AY4"/>
    <mergeCell ref="H4:M4"/>
    <mergeCell ref="N4:U4"/>
    <mergeCell ref="V4:AA4"/>
    <mergeCell ref="AZ109:BE109"/>
    <mergeCell ref="A110:E110"/>
    <mergeCell ref="H109:M109"/>
    <mergeCell ref="N109:U109"/>
    <mergeCell ref="V109:AA109"/>
    <mergeCell ref="AB109:AJ109"/>
    <mergeCell ref="AK109:AS109"/>
    <mergeCell ref="AB68:AJ68"/>
    <mergeCell ref="AK68:AS68"/>
    <mergeCell ref="AT109:AY109"/>
    <mergeCell ref="AB97:AJ97"/>
    <mergeCell ref="N97:U97"/>
    <mergeCell ref="AK83:AS83"/>
    <mergeCell ref="AB83:AJ83"/>
    <mergeCell ref="AK97:AS97"/>
    <mergeCell ref="AT97:AY97"/>
    <mergeCell ref="V97:AA97"/>
    <mergeCell ref="V83:AA83"/>
    <mergeCell ref="V68:AA68"/>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076" r:id="rId4" name="Control 4">
          <controlPr defaultSize="0" r:id="rId5">
            <anchor moveWithCells="1">
              <from>
                <xdr:col>2</xdr:col>
                <xdr:colOff>9525</xdr:colOff>
                <xdr:row>53</xdr:row>
                <xdr:rowOff>152400</xdr:rowOff>
              </from>
              <to>
                <xdr:col>2</xdr:col>
                <xdr:colOff>161925</xdr:colOff>
                <xdr:row>54</xdr:row>
                <xdr:rowOff>114300</xdr:rowOff>
              </to>
            </anchor>
          </controlPr>
        </control>
      </mc:Choice>
      <mc:Fallback>
        <control shapeId="3076" r:id="rId4" name="Control 4"/>
      </mc:Fallback>
    </mc:AlternateContent>
    <mc:AlternateContent xmlns:mc="http://schemas.openxmlformats.org/markup-compatibility/2006">
      <mc:Choice Requires="x14">
        <control shapeId="3075" r:id="rId6" name="Control 3">
          <controlPr defaultSize="0" r:id="rId5">
            <anchor moveWithCells="1">
              <from>
                <xdr:col>2</xdr:col>
                <xdr:colOff>9525</xdr:colOff>
                <xdr:row>53</xdr:row>
                <xdr:rowOff>152400</xdr:rowOff>
              </from>
              <to>
                <xdr:col>2</xdr:col>
                <xdr:colOff>161925</xdr:colOff>
                <xdr:row>54</xdr:row>
                <xdr:rowOff>114300</xdr:rowOff>
              </to>
            </anchor>
          </controlPr>
        </control>
      </mc:Choice>
      <mc:Fallback>
        <control shapeId="3075" r:id="rId6" name="Control 3"/>
      </mc:Fallback>
    </mc:AlternateContent>
    <mc:AlternateContent xmlns:mc="http://schemas.openxmlformats.org/markup-compatibility/2006">
      <mc:Choice Requires="x14">
        <control shapeId="3074" r:id="rId7" name="Control 2">
          <controlPr defaultSize="0" r:id="rId8">
            <anchor moveWithCells="1">
              <from>
                <xdr:col>2</xdr:col>
                <xdr:colOff>9525</xdr:colOff>
                <xdr:row>53</xdr:row>
                <xdr:rowOff>152400</xdr:rowOff>
              </from>
              <to>
                <xdr:col>2</xdr:col>
                <xdr:colOff>161925</xdr:colOff>
                <xdr:row>54</xdr:row>
                <xdr:rowOff>114300</xdr:rowOff>
              </to>
            </anchor>
          </controlPr>
        </control>
      </mc:Choice>
      <mc:Fallback>
        <control shapeId="3074" r:id="rId7" name="Control 2"/>
      </mc:Fallback>
    </mc:AlternateContent>
    <mc:AlternateContent xmlns:mc="http://schemas.openxmlformats.org/markup-compatibility/2006">
      <mc:Choice Requires="x14">
        <control shapeId="3073" r:id="rId9" name="Control 1">
          <controlPr defaultSize="0" r:id="rId10">
            <anchor moveWithCells="1">
              <from>
                <xdr:col>2</xdr:col>
                <xdr:colOff>9525</xdr:colOff>
                <xdr:row>53</xdr:row>
                <xdr:rowOff>152400</xdr:rowOff>
              </from>
              <to>
                <xdr:col>2</xdr:col>
                <xdr:colOff>161925</xdr:colOff>
                <xdr:row>54</xdr:row>
                <xdr:rowOff>114300</xdr:rowOff>
              </to>
            </anchor>
          </controlPr>
        </control>
      </mc:Choice>
      <mc:Fallback>
        <control shapeId="3073" r:id="rId9"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CCFA-3587-4C63-AE31-6676E13DF5D0}">
  <dimension ref="A2:AG123"/>
  <sheetViews>
    <sheetView zoomScale="60" zoomScaleNormal="60" workbookViewId="0">
      <pane xSplit="7" ySplit="6" topLeftCell="T97" activePane="bottomRight" state="frozen"/>
      <selection pane="topRight" activeCell="H1" sqref="H1"/>
      <selection pane="bottomLeft" activeCell="A7" sqref="A7"/>
      <selection pane="bottomRight" activeCell="G43" sqref="G43"/>
    </sheetView>
  </sheetViews>
  <sheetFormatPr defaultColWidth="11.25" defaultRowHeight="15.75" outlineLevelCol="1"/>
  <cols>
    <col min="1" max="1" width="20" bestFit="1" customWidth="1"/>
    <col min="2" max="2" width="15.75" customWidth="1"/>
    <col min="3" max="3" width="26.5" customWidth="1"/>
    <col min="4" max="4" width="40.375" bestFit="1" customWidth="1"/>
    <col min="5" max="5" width="6.875" hidden="1" customWidth="1"/>
    <col min="6" max="7" width="12.75" customWidth="1"/>
    <col min="8" max="8" width="12.5" customWidth="1" outlineLevel="1"/>
    <col min="9" max="9" width="11.25" customWidth="1" outlineLevel="1"/>
    <col min="10" max="11" width="16.75" customWidth="1" outlineLevel="1"/>
    <col min="14" max="14" width="12.5" style="254" customWidth="1" outlineLevel="1"/>
    <col min="15" max="15" width="11.25" style="254" customWidth="1" outlineLevel="1"/>
    <col min="16" max="17" width="16.375" style="254" customWidth="1" outlineLevel="1"/>
    <col min="20" max="20" width="15.875" style="9" customWidth="1" outlineLevel="1"/>
    <col min="21" max="23" width="16.25" customWidth="1" outlineLevel="1"/>
    <col min="24" max="24" width="16.25" style="45" customWidth="1"/>
    <col min="25" max="25" width="16.25" customWidth="1"/>
    <col min="26" max="26" width="15.875" style="9" customWidth="1" outlineLevel="1"/>
    <col min="27" max="29" width="16.25" customWidth="1" outlineLevel="1"/>
    <col min="30" max="30" width="16.25" style="45" customWidth="1"/>
    <col min="31" max="31" width="16.25" customWidth="1"/>
  </cols>
  <sheetData>
    <row r="2" spans="1:33">
      <c r="AE2" s="304"/>
      <c r="AG2" s="45"/>
    </row>
    <row r="3" spans="1:33" ht="28.5">
      <c r="A3" s="424" t="s">
        <v>154</v>
      </c>
      <c r="B3" s="425"/>
      <c r="C3" s="425"/>
      <c r="D3" s="425"/>
      <c r="E3" s="201"/>
      <c r="AA3" s="9"/>
      <c r="AB3" s="9"/>
      <c r="AC3" s="9"/>
      <c r="AE3" s="304"/>
      <c r="AG3" s="45"/>
    </row>
    <row r="4" spans="1:33" ht="27" thickBot="1">
      <c r="A4" s="201"/>
      <c r="B4" s="201"/>
      <c r="C4" s="201"/>
      <c r="D4" s="201"/>
      <c r="E4" s="201"/>
    </row>
    <row r="5" spans="1:33" ht="24" thickBot="1">
      <c r="H5" s="418" t="s">
        <v>155</v>
      </c>
      <c r="I5" s="403"/>
      <c r="J5" s="403"/>
      <c r="K5" s="403"/>
      <c r="L5" s="403"/>
      <c r="M5" s="404"/>
      <c r="N5" s="399" t="s">
        <v>156</v>
      </c>
      <c r="O5" s="400"/>
      <c r="P5" s="400"/>
      <c r="Q5" s="400"/>
      <c r="R5" s="400"/>
      <c r="S5" s="401"/>
      <c r="T5" s="390" t="s">
        <v>4</v>
      </c>
      <c r="U5" s="420"/>
      <c r="V5" s="420"/>
      <c r="W5" s="420"/>
      <c r="X5" s="420"/>
      <c r="Y5" s="421"/>
      <c r="Z5" s="427" t="s">
        <v>157</v>
      </c>
      <c r="AA5" s="428"/>
      <c r="AB5" s="428"/>
      <c r="AC5" s="428"/>
      <c r="AD5" s="428"/>
      <c r="AE5" s="429"/>
    </row>
    <row r="6" spans="1:33" s="43" customFormat="1" ht="47.25">
      <c r="A6" s="422" t="s">
        <v>158</v>
      </c>
      <c r="B6" s="423"/>
      <c r="C6" s="423"/>
      <c r="D6" s="423"/>
      <c r="E6" s="426"/>
      <c r="F6" s="117" t="s">
        <v>9</v>
      </c>
      <c r="G6" s="51" t="s">
        <v>10</v>
      </c>
      <c r="H6" s="59" t="s">
        <v>159</v>
      </c>
      <c r="I6" s="56" t="s">
        <v>160</v>
      </c>
      <c r="J6" s="188" t="s">
        <v>161</v>
      </c>
      <c r="K6" s="246" t="s">
        <v>162</v>
      </c>
      <c r="L6" s="87" t="s">
        <v>15</v>
      </c>
      <c r="M6" s="57" t="s">
        <v>16</v>
      </c>
      <c r="N6" s="255" t="s">
        <v>159</v>
      </c>
      <c r="O6" s="256" t="s">
        <v>160</v>
      </c>
      <c r="P6" s="257" t="s">
        <v>161</v>
      </c>
      <c r="Q6" s="258" t="s">
        <v>162</v>
      </c>
      <c r="R6" s="87" t="s">
        <v>15</v>
      </c>
      <c r="S6" s="57" t="s">
        <v>16</v>
      </c>
      <c r="T6" s="59" t="s">
        <v>159</v>
      </c>
      <c r="U6" s="56" t="s">
        <v>160</v>
      </c>
      <c r="V6" s="188" t="s">
        <v>161</v>
      </c>
      <c r="W6" s="246" t="s">
        <v>162</v>
      </c>
      <c r="X6" s="339" t="s">
        <v>15</v>
      </c>
      <c r="Y6" s="51" t="s">
        <v>16</v>
      </c>
      <c r="Z6" s="59" t="s">
        <v>159</v>
      </c>
      <c r="AA6" s="56" t="s">
        <v>160</v>
      </c>
      <c r="AB6" s="188" t="s">
        <v>161</v>
      </c>
      <c r="AC6" s="246" t="s">
        <v>162</v>
      </c>
      <c r="AD6" s="249" t="s">
        <v>15</v>
      </c>
      <c r="AE6" s="57" t="s">
        <v>16</v>
      </c>
    </row>
    <row r="7" spans="1:33" ht="60.75" customHeight="1">
      <c r="A7" s="68" t="s">
        <v>22</v>
      </c>
      <c r="B7" s="68" t="s">
        <v>23</v>
      </c>
      <c r="C7" s="69" t="s">
        <v>24</v>
      </c>
      <c r="D7" s="68" t="s">
        <v>25</v>
      </c>
      <c r="E7" s="69" t="s">
        <v>26</v>
      </c>
      <c r="F7" s="88"/>
      <c r="G7" s="78"/>
      <c r="H7" s="19"/>
      <c r="I7" s="11"/>
      <c r="J7" s="3"/>
      <c r="K7" s="25"/>
      <c r="L7" s="88"/>
      <c r="M7" s="78"/>
      <c r="N7" s="259"/>
      <c r="O7" s="260"/>
      <c r="P7" s="260"/>
      <c r="Q7" s="261"/>
      <c r="R7" s="88"/>
      <c r="S7" s="78"/>
      <c r="T7" s="75"/>
      <c r="U7" s="11"/>
      <c r="V7" s="3"/>
      <c r="W7" s="25"/>
      <c r="X7" s="338"/>
      <c r="Y7" s="78"/>
      <c r="Z7" s="75"/>
      <c r="AA7" s="11"/>
      <c r="AB7" s="3"/>
      <c r="AC7" s="25"/>
      <c r="AD7" s="107"/>
      <c r="AE7" s="78"/>
    </row>
    <row r="8" spans="1:33">
      <c r="A8" s="3" t="s">
        <v>48</v>
      </c>
      <c r="B8" s="3" t="s">
        <v>163</v>
      </c>
      <c r="C8" s="202" t="s">
        <v>164</v>
      </c>
      <c r="D8" s="202" t="s">
        <v>165</v>
      </c>
      <c r="E8" s="216">
        <v>6</v>
      </c>
      <c r="F8" s="88">
        <f>L8+R8+X8+AD8</f>
        <v>20</v>
      </c>
      <c r="G8" s="78"/>
      <c r="H8" s="19"/>
      <c r="I8" s="11"/>
      <c r="J8" s="3"/>
      <c r="K8" s="25"/>
      <c r="L8" s="88"/>
      <c r="M8" s="78"/>
      <c r="N8" s="259">
        <v>87</v>
      </c>
      <c r="O8" s="260">
        <v>86.3</v>
      </c>
      <c r="P8" s="260">
        <v>80</v>
      </c>
      <c r="Q8" s="261">
        <v>84.5</v>
      </c>
      <c r="R8" s="88">
        <v>20</v>
      </c>
      <c r="S8" s="78">
        <f t="shared" ref="S8" si="0">R8</f>
        <v>20</v>
      </c>
      <c r="T8" s="271">
        <v>64</v>
      </c>
      <c r="U8" s="271">
        <v>66.36363636363636</v>
      </c>
      <c r="V8" s="272">
        <v>76.5</v>
      </c>
      <c r="W8" s="305">
        <v>68.954545454545453</v>
      </c>
      <c r="X8" s="338"/>
      <c r="Y8" s="78" t="s">
        <v>31</v>
      </c>
      <c r="Z8" s="75"/>
      <c r="AA8" s="11"/>
      <c r="AB8" s="3"/>
      <c r="AC8" s="25"/>
      <c r="AD8" s="107"/>
      <c r="AE8" s="78"/>
    </row>
    <row r="9" spans="1:33">
      <c r="A9" t="s">
        <v>166</v>
      </c>
      <c r="B9" s="3" t="s">
        <v>167</v>
      </c>
      <c r="C9" s="3" t="s">
        <v>168</v>
      </c>
      <c r="D9" s="202" t="s">
        <v>169</v>
      </c>
      <c r="E9" s="5"/>
      <c r="F9" s="88">
        <f t="shared" ref="F9:F10" si="1">L9+R9+X9+AD9</f>
        <v>19</v>
      </c>
      <c r="G9" s="78"/>
      <c r="H9" s="19">
        <v>70</v>
      </c>
      <c r="I9" s="11">
        <v>70</v>
      </c>
      <c r="J9" s="3">
        <v>76</v>
      </c>
      <c r="K9" s="25">
        <v>72</v>
      </c>
      <c r="L9" s="88">
        <v>19</v>
      </c>
      <c r="M9" s="78">
        <f>L9</f>
        <v>19</v>
      </c>
      <c r="N9" s="259">
        <v>65</v>
      </c>
      <c r="O9" s="260">
        <v>61.8</v>
      </c>
      <c r="P9" s="260">
        <v>61</v>
      </c>
      <c r="Q9" s="261">
        <v>62.5</v>
      </c>
      <c r="R9" s="88"/>
      <c r="S9" s="78" t="s">
        <v>31</v>
      </c>
      <c r="T9" s="75"/>
      <c r="U9" s="11"/>
      <c r="V9" s="3"/>
      <c r="W9" s="306"/>
      <c r="X9" s="338"/>
      <c r="Y9" s="78"/>
      <c r="Z9" s="75" t="s">
        <v>514</v>
      </c>
      <c r="AA9" s="11"/>
      <c r="AB9" s="3"/>
      <c r="AC9" s="25"/>
      <c r="AD9" s="107"/>
      <c r="AE9" s="78" t="s">
        <v>31</v>
      </c>
    </row>
    <row r="10" spans="1:33" ht="17.45" customHeight="1">
      <c r="A10" s="3" t="s">
        <v>36</v>
      </c>
      <c r="B10" s="3" t="s">
        <v>37</v>
      </c>
      <c r="C10" s="3" t="s">
        <v>38</v>
      </c>
      <c r="D10" s="3" t="s">
        <v>170</v>
      </c>
      <c r="E10" s="5"/>
      <c r="F10" s="88">
        <f t="shared" si="1"/>
        <v>20</v>
      </c>
      <c r="G10" s="78"/>
      <c r="H10" s="19">
        <v>72</v>
      </c>
      <c r="I10" s="11">
        <v>79</v>
      </c>
      <c r="J10" s="3">
        <v>85</v>
      </c>
      <c r="K10" s="25">
        <v>79</v>
      </c>
      <c r="L10" s="88">
        <v>20</v>
      </c>
      <c r="M10" s="78">
        <f>L10</f>
        <v>20</v>
      </c>
      <c r="N10" s="259"/>
      <c r="O10" s="260"/>
      <c r="P10" s="260"/>
      <c r="Q10" s="261" t="str">
        <f>IFERROR(AVERAGE(N10:P10),"")</f>
        <v/>
      </c>
      <c r="R10" s="88"/>
      <c r="S10" s="78"/>
      <c r="T10" s="271">
        <v>67</v>
      </c>
      <c r="U10" s="271">
        <v>71.818181818181813</v>
      </c>
      <c r="V10" s="272">
        <v>67</v>
      </c>
      <c r="W10" s="305">
        <v>68.606060606060609</v>
      </c>
      <c r="X10" s="338"/>
      <c r="Y10" s="78" t="s">
        <v>31</v>
      </c>
      <c r="Z10" s="75">
        <v>82.5</v>
      </c>
      <c r="AA10" s="11">
        <v>78</v>
      </c>
      <c r="AB10" s="3">
        <v>67</v>
      </c>
      <c r="AC10" s="25">
        <v>73.39</v>
      </c>
      <c r="AD10" s="107"/>
      <c r="AE10" s="78" t="s">
        <v>31</v>
      </c>
    </row>
    <row r="11" spans="1:33">
      <c r="A11" s="2"/>
      <c r="B11" s="2"/>
      <c r="C11" s="5"/>
      <c r="D11" s="2"/>
      <c r="E11" s="5"/>
      <c r="F11" s="88">
        <f t="shared" ref="F11:F21" si="2">L11+R11+X11+AD11</f>
        <v>0</v>
      </c>
      <c r="G11" s="78"/>
      <c r="H11" s="19"/>
      <c r="I11" s="11"/>
      <c r="J11" s="3"/>
      <c r="K11" s="25"/>
      <c r="L11" s="88"/>
      <c r="M11" s="78"/>
      <c r="N11" s="259"/>
      <c r="O11" s="260"/>
      <c r="P11" s="260"/>
      <c r="Q11" s="261" t="str">
        <f>IFERROR(AVERAGE(N11:P11),"")</f>
        <v/>
      </c>
      <c r="R11" s="88"/>
      <c r="S11" s="78"/>
      <c r="T11" s="75"/>
      <c r="U11" s="11"/>
      <c r="V11" s="3"/>
      <c r="W11" s="25"/>
      <c r="X11" s="338"/>
      <c r="Y11" s="78"/>
      <c r="Z11" s="75"/>
      <c r="AA11" s="11"/>
      <c r="AB11" s="3"/>
      <c r="AC11" s="25"/>
      <c r="AD11" s="107"/>
      <c r="AE11" s="78"/>
    </row>
    <row r="12" spans="1:33">
      <c r="A12" s="2"/>
      <c r="B12" s="2"/>
      <c r="C12" s="5"/>
      <c r="D12" s="2"/>
      <c r="E12" s="5"/>
      <c r="F12" s="88">
        <f t="shared" si="2"/>
        <v>0</v>
      </c>
      <c r="G12" s="78"/>
      <c r="H12" s="19"/>
      <c r="I12" s="11"/>
      <c r="J12" s="3"/>
      <c r="K12" s="25"/>
      <c r="L12" s="88"/>
      <c r="M12" s="78"/>
      <c r="N12" s="259"/>
      <c r="O12" s="260"/>
      <c r="P12" s="260"/>
      <c r="Q12" s="261"/>
      <c r="R12" s="88"/>
      <c r="S12" s="78"/>
      <c r="T12" s="75"/>
      <c r="U12" s="11"/>
      <c r="V12" s="3"/>
      <c r="W12" s="25"/>
      <c r="X12" s="338"/>
      <c r="Y12" s="78"/>
      <c r="Z12" s="75"/>
      <c r="AA12" s="11"/>
      <c r="AB12" s="3"/>
      <c r="AC12" s="25"/>
      <c r="AD12" s="107"/>
      <c r="AE12" s="78"/>
    </row>
    <row r="13" spans="1:33">
      <c r="A13" s="2"/>
      <c r="B13" s="2"/>
      <c r="C13" s="5"/>
      <c r="D13" s="2"/>
      <c r="E13" s="5"/>
      <c r="F13" s="88">
        <f t="shared" si="2"/>
        <v>0</v>
      </c>
      <c r="G13" s="78"/>
      <c r="H13" s="19"/>
      <c r="I13" s="11"/>
      <c r="J13" s="3"/>
      <c r="K13" s="25"/>
      <c r="L13" s="88"/>
      <c r="M13" s="78"/>
      <c r="N13" s="259"/>
      <c r="O13" s="260"/>
      <c r="P13" s="260"/>
      <c r="Q13" s="261"/>
      <c r="R13" s="88"/>
      <c r="S13" s="78"/>
      <c r="T13" s="75"/>
      <c r="U13" s="11"/>
      <c r="V13" s="3"/>
      <c r="W13" s="25"/>
      <c r="X13" s="338"/>
      <c r="Y13" s="78"/>
      <c r="Z13" s="75"/>
      <c r="AA13" s="11"/>
      <c r="AB13" s="3"/>
      <c r="AC13" s="25"/>
      <c r="AD13" s="107"/>
      <c r="AE13" s="78"/>
    </row>
    <row r="14" spans="1:33">
      <c r="A14" s="2"/>
      <c r="B14" s="2"/>
      <c r="C14" s="5"/>
      <c r="D14" s="2"/>
      <c r="E14" s="5"/>
      <c r="F14" s="88">
        <f t="shared" si="2"/>
        <v>0</v>
      </c>
      <c r="G14" s="78"/>
      <c r="H14" s="19"/>
      <c r="I14" s="11"/>
      <c r="J14" s="3"/>
      <c r="K14" s="25"/>
      <c r="L14" s="88"/>
      <c r="M14" s="78"/>
      <c r="N14" s="259"/>
      <c r="O14" s="260"/>
      <c r="P14" s="260"/>
      <c r="Q14" s="261"/>
      <c r="R14" s="88"/>
      <c r="S14" s="78"/>
      <c r="T14" s="75"/>
      <c r="U14" s="11"/>
      <c r="V14" s="3"/>
      <c r="W14" s="25"/>
      <c r="X14" s="338"/>
      <c r="Y14" s="78"/>
      <c r="Z14" s="75"/>
      <c r="AA14" s="11"/>
      <c r="AB14" s="3"/>
      <c r="AC14" s="25"/>
      <c r="AD14" s="107"/>
      <c r="AE14" s="78"/>
    </row>
    <row r="15" spans="1:33">
      <c r="A15" s="2"/>
      <c r="B15" s="2"/>
      <c r="C15" s="5"/>
      <c r="D15" s="2"/>
      <c r="E15" s="5"/>
      <c r="F15" s="88">
        <f t="shared" si="2"/>
        <v>0</v>
      </c>
      <c r="G15" s="78"/>
      <c r="H15" s="19"/>
      <c r="I15" s="11"/>
      <c r="J15" s="3"/>
      <c r="K15" s="25"/>
      <c r="L15" s="88"/>
      <c r="M15" s="78"/>
      <c r="N15" s="259"/>
      <c r="O15" s="260"/>
      <c r="P15" s="260"/>
      <c r="Q15" s="261"/>
      <c r="R15" s="88"/>
      <c r="S15" s="78"/>
      <c r="T15" s="75"/>
      <c r="U15" s="11"/>
      <c r="V15" s="3"/>
      <c r="W15" s="25"/>
      <c r="X15" s="338"/>
      <c r="Y15" s="78"/>
      <c r="Z15" s="75"/>
      <c r="AA15" s="11"/>
      <c r="AB15" s="3"/>
      <c r="AC15" s="25"/>
      <c r="AD15" s="107"/>
      <c r="AE15" s="78"/>
    </row>
    <row r="16" spans="1:33">
      <c r="A16" s="2"/>
      <c r="B16" s="2"/>
      <c r="C16" s="5"/>
      <c r="D16" s="2"/>
      <c r="E16" s="5"/>
      <c r="F16" s="88">
        <f t="shared" si="2"/>
        <v>0</v>
      </c>
      <c r="G16" s="78"/>
      <c r="H16" s="19"/>
      <c r="I16" s="11"/>
      <c r="J16" s="3"/>
      <c r="K16" s="25"/>
      <c r="L16" s="100"/>
      <c r="M16" s="113"/>
      <c r="N16" s="259"/>
      <c r="O16" s="260"/>
      <c r="P16" s="260"/>
      <c r="Q16" s="261"/>
      <c r="R16" s="100"/>
      <c r="S16" s="113"/>
      <c r="T16" s="75"/>
      <c r="U16" s="11"/>
      <c r="V16" s="3"/>
      <c r="W16" s="25"/>
      <c r="X16" s="338"/>
      <c r="Y16" s="78"/>
      <c r="Z16" s="75"/>
      <c r="AA16" s="11"/>
      <c r="AB16" s="3"/>
      <c r="AC16" s="25"/>
      <c r="AD16" s="107"/>
      <c r="AE16" s="78"/>
    </row>
    <row r="17" spans="1:31">
      <c r="A17" s="2"/>
      <c r="B17" s="2"/>
      <c r="C17" s="5"/>
      <c r="D17" s="2"/>
      <c r="E17" s="5"/>
      <c r="F17" s="88">
        <f t="shared" si="2"/>
        <v>0</v>
      </c>
      <c r="G17" s="78"/>
      <c r="H17" s="19"/>
      <c r="I17" s="11"/>
      <c r="J17" s="3"/>
      <c r="K17" s="25"/>
      <c r="L17" s="88"/>
      <c r="M17" s="78"/>
      <c r="N17" s="259"/>
      <c r="O17" s="260"/>
      <c r="P17" s="260"/>
      <c r="Q17" s="261"/>
      <c r="R17" s="88"/>
      <c r="S17" s="78"/>
      <c r="T17" s="75"/>
      <c r="U17" s="11"/>
      <c r="V17" s="3"/>
      <c r="W17" s="25"/>
      <c r="X17" s="338"/>
      <c r="Y17" s="78"/>
      <c r="Z17" s="75"/>
      <c r="AA17" s="11"/>
      <c r="AB17" s="3"/>
      <c r="AC17" s="25"/>
      <c r="AD17" s="107"/>
      <c r="AE17" s="78"/>
    </row>
    <row r="18" spans="1:31">
      <c r="A18" s="2"/>
      <c r="B18" s="2"/>
      <c r="C18" s="2"/>
      <c r="D18" s="2"/>
      <c r="E18" s="5"/>
      <c r="F18" s="88">
        <f t="shared" si="2"/>
        <v>0</v>
      </c>
      <c r="G18" s="78"/>
      <c r="H18" s="19"/>
      <c r="I18" s="11"/>
      <c r="J18" s="3"/>
      <c r="K18" s="25"/>
      <c r="L18" s="88"/>
      <c r="M18" s="78"/>
      <c r="N18" s="259"/>
      <c r="O18" s="260"/>
      <c r="P18" s="260"/>
      <c r="Q18" s="261"/>
      <c r="R18" s="88"/>
      <c r="S18" s="78"/>
      <c r="T18" s="75"/>
      <c r="U18" s="11"/>
      <c r="V18" s="3"/>
      <c r="W18" s="25"/>
      <c r="X18" s="338"/>
      <c r="Y18" s="78"/>
      <c r="Z18" s="75"/>
      <c r="AA18" s="11"/>
      <c r="AB18" s="3"/>
      <c r="AC18" s="25"/>
      <c r="AD18" s="107"/>
      <c r="AE18" s="78"/>
    </row>
    <row r="19" spans="1:31">
      <c r="A19" s="2"/>
      <c r="B19" s="2"/>
      <c r="C19" s="2"/>
      <c r="D19" s="2"/>
      <c r="E19" s="5"/>
      <c r="F19" s="88">
        <f t="shared" si="2"/>
        <v>0</v>
      </c>
      <c r="G19" s="78"/>
      <c r="H19" s="19"/>
      <c r="I19" s="11"/>
      <c r="J19" s="3"/>
      <c r="K19" s="25"/>
      <c r="L19" s="88"/>
      <c r="M19" s="78"/>
      <c r="N19" s="259"/>
      <c r="O19" s="260"/>
      <c r="P19" s="260"/>
      <c r="Q19" s="261"/>
      <c r="R19" s="88"/>
      <c r="S19" s="78"/>
      <c r="T19" s="75"/>
      <c r="U19" s="11"/>
      <c r="V19" s="3"/>
      <c r="W19" s="25"/>
      <c r="X19" s="338"/>
      <c r="Y19" s="78"/>
      <c r="Z19" s="75"/>
      <c r="AA19" s="11"/>
      <c r="AB19" s="3"/>
      <c r="AC19" s="25"/>
      <c r="AD19" s="107"/>
      <c r="AE19" s="78"/>
    </row>
    <row r="20" spans="1:31">
      <c r="A20" s="2"/>
      <c r="B20" s="2"/>
      <c r="C20" s="2"/>
      <c r="D20" s="2"/>
      <c r="E20" s="5"/>
      <c r="F20" s="88">
        <f t="shared" si="2"/>
        <v>0</v>
      </c>
      <c r="G20" s="78"/>
      <c r="H20" s="19"/>
      <c r="I20" s="11"/>
      <c r="J20" s="3"/>
      <c r="K20" s="25"/>
      <c r="L20" s="88"/>
      <c r="M20" s="78"/>
      <c r="N20" s="259"/>
      <c r="O20" s="260"/>
      <c r="P20" s="260"/>
      <c r="Q20" s="261"/>
      <c r="R20" s="88"/>
      <c r="S20" s="78"/>
      <c r="T20" s="75"/>
      <c r="U20" s="11"/>
      <c r="V20" s="3"/>
      <c r="W20" s="25"/>
      <c r="X20" s="338"/>
      <c r="Y20" s="78"/>
      <c r="Z20" s="75"/>
      <c r="AA20" s="11"/>
      <c r="AB20" s="3"/>
      <c r="AC20" s="25"/>
      <c r="AD20" s="107"/>
      <c r="AE20" s="78"/>
    </row>
    <row r="21" spans="1:31" s="27" customFormat="1" ht="16.5" thickBot="1">
      <c r="A21" s="2"/>
      <c r="B21" s="2"/>
      <c r="C21" s="2"/>
      <c r="D21" s="2"/>
      <c r="E21" s="5"/>
      <c r="F21" s="90">
        <f t="shared" si="2"/>
        <v>0</v>
      </c>
      <c r="G21" s="86"/>
      <c r="H21" s="19"/>
      <c r="I21" s="28"/>
      <c r="J21" s="28"/>
      <c r="K21" s="247"/>
      <c r="L21" s="101"/>
      <c r="M21" s="160"/>
      <c r="N21" s="259"/>
      <c r="O21" s="262"/>
      <c r="P21" s="262"/>
      <c r="Q21" s="263"/>
      <c r="R21" s="101"/>
      <c r="S21" s="160"/>
      <c r="T21" s="75"/>
      <c r="U21" s="28"/>
      <c r="V21" s="28"/>
      <c r="W21" s="247"/>
      <c r="X21" s="340"/>
      <c r="Y21" s="160"/>
      <c r="Z21" s="75"/>
      <c r="AA21" s="28"/>
      <c r="AB21" s="28"/>
      <c r="AC21" s="250"/>
      <c r="AD21" s="179"/>
      <c r="AE21" s="160"/>
    </row>
    <row r="22" spans="1:31" s="27" customFormat="1">
      <c r="A22" s="7"/>
      <c r="B22" s="7"/>
      <c r="C22" s="7"/>
      <c r="D22" s="7"/>
      <c r="E22" s="7"/>
      <c r="F22"/>
      <c r="G22"/>
      <c r="H22"/>
      <c r="N22" s="254"/>
      <c r="O22" s="264"/>
      <c r="P22" s="264"/>
      <c r="Q22" s="264"/>
      <c r="T22" s="45"/>
      <c r="X22" s="182"/>
      <c r="Z22" s="45"/>
      <c r="AD22" s="182"/>
    </row>
    <row r="23" spans="1:31" ht="16.5" thickBot="1">
      <c r="A23" s="27"/>
      <c r="B23" s="27"/>
      <c r="C23" s="27"/>
      <c r="D23" s="27"/>
      <c r="E23" s="27"/>
    </row>
    <row r="24" spans="1:31" ht="24" thickBot="1">
      <c r="H24" s="418" t="s">
        <v>155</v>
      </c>
      <c r="I24" s="403"/>
      <c r="J24" s="403"/>
      <c r="K24" s="403"/>
      <c r="L24" s="403"/>
      <c r="M24" s="404"/>
      <c r="N24" s="399" t="s">
        <v>156</v>
      </c>
      <c r="O24" s="400"/>
      <c r="P24" s="400"/>
      <c r="Q24" s="400"/>
      <c r="R24" s="400"/>
      <c r="S24" s="401"/>
      <c r="T24" s="390" t="s">
        <v>4</v>
      </c>
      <c r="U24" s="420"/>
      <c r="V24" s="420"/>
      <c r="W24" s="420"/>
      <c r="X24" s="420"/>
      <c r="Y24" s="421"/>
      <c r="Z24" s="427" t="s">
        <v>157</v>
      </c>
      <c r="AA24" s="428"/>
      <c r="AB24" s="428"/>
      <c r="AC24" s="428"/>
      <c r="AD24" s="428"/>
      <c r="AE24" s="429"/>
    </row>
    <row r="25" spans="1:31" ht="47.25">
      <c r="A25" s="416" t="s">
        <v>171</v>
      </c>
      <c r="B25" s="409"/>
      <c r="C25" s="409"/>
      <c r="D25" s="409"/>
      <c r="E25" s="409"/>
      <c r="F25" s="117" t="s">
        <v>9</v>
      </c>
      <c r="G25" s="51" t="s">
        <v>10</v>
      </c>
      <c r="H25" s="59" t="s">
        <v>159</v>
      </c>
      <c r="I25" s="56" t="s">
        <v>160</v>
      </c>
      <c r="J25" s="248" t="s">
        <v>161</v>
      </c>
      <c r="K25" s="246" t="s">
        <v>162</v>
      </c>
      <c r="L25" s="97" t="s">
        <v>15</v>
      </c>
      <c r="M25" s="51" t="s">
        <v>16</v>
      </c>
      <c r="N25" s="255" t="s">
        <v>159</v>
      </c>
      <c r="O25" s="265" t="s">
        <v>160</v>
      </c>
      <c r="P25" s="257" t="s">
        <v>161</v>
      </c>
      <c r="Q25" s="258" t="s">
        <v>162</v>
      </c>
      <c r="R25" s="87" t="s">
        <v>15</v>
      </c>
      <c r="S25" s="57" t="s">
        <v>16</v>
      </c>
      <c r="T25" s="59" t="s">
        <v>159</v>
      </c>
      <c r="U25" s="56" t="s">
        <v>160</v>
      </c>
      <c r="V25" s="188" t="s">
        <v>161</v>
      </c>
      <c r="W25" s="246" t="s">
        <v>162</v>
      </c>
      <c r="X25" s="103" t="s">
        <v>15</v>
      </c>
      <c r="Y25" s="51" t="s">
        <v>16</v>
      </c>
      <c r="Z25" s="59" t="s">
        <v>159</v>
      </c>
      <c r="AA25" s="56" t="s">
        <v>160</v>
      </c>
      <c r="AB25" s="188" t="s">
        <v>161</v>
      </c>
      <c r="AC25" s="246" t="s">
        <v>162</v>
      </c>
      <c r="AD25" s="87" t="s">
        <v>15</v>
      </c>
      <c r="AE25" s="57" t="s">
        <v>16</v>
      </c>
    </row>
    <row r="26" spans="1:31" s="43" customFormat="1">
      <c r="A26" s="1" t="s">
        <v>22</v>
      </c>
      <c r="B26" s="1" t="s">
        <v>23</v>
      </c>
      <c r="C26" s="1" t="s">
        <v>24</v>
      </c>
      <c r="D26" s="1" t="s">
        <v>25</v>
      </c>
      <c r="E26" s="170" t="s">
        <v>26</v>
      </c>
      <c r="F26" s="88"/>
      <c r="G26" s="78"/>
      <c r="H26" s="19"/>
      <c r="I26" s="11"/>
      <c r="J26" s="3"/>
      <c r="K26" s="25"/>
      <c r="L26" s="88"/>
      <c r="M26" s="78"/>
      <c r="N26" s="259"/>
      <c r="O26" s="260"/>
      <c r="P26" s="260"/>
      <c r="Q26" s="261"/>
      <c r="R26" s="88"/>
      <c r="S26" s="113"/>
      <c r="T26" s="19"/>
      <c r="U26" s="3"/>
      <c r="V26" s="3"/>
      <c r="W26" s="25"/>
      <c r="X26" s="111"/>
      <c r="Y26" s="78"/>
      <c r="Z26" s="19"/>
      <c r="AA26" s="3"/>
      <c r="AB26" s="3"/>
      <c r="AC26" s="25"/>
      <c r="AD26" s="88"/>
      <c r="AE26" s="78"/>
    </row>
    <row r="27" spans="1:31">
      <c r="A27" s="3" t="s">
        <v>48</v>
      </c>
      <c r="B27" s="3" t="s">
        <v>163</v>
      </c>
      <c r="C27" s="202" t="s">
        <v>164</v>
      </c>
      <c r="D27" s="202" t="s">
        <v>172</v>
      </c>
      <c r="E27" s="216">
        <v>6</v>
      </c>
      <c r="F27" s="88">
        <f>L27+R27+X27+AD27</f>
        <v>20</v>
      </c>
      <c r="G27" s="78"/>
      <c r="H27" s="19"/>
      <c r="I27" s="11"/>
      <c r="J27" s="3"/>
      <c r="K27" s="25"/>
      <c r="L27" s="88"/>
      <c r="M27" s="78"/>
      <c r="N27" s="259">
        <v>93</v>
      </c>
      <c r="O27" s="260">
        <v>89.5</v>
      </c>
      <c r="P27" s="260">
        <v>91.5</v>
      </c>
      <c r="Q27" s="261">
        <v>88.38</v>
      </c>
      <c r="R27" s="88">
        <v>20</v>
      </c>
      <c r="S27" s="78">
        <f t="shared" ref="S27" si="3">R27</f>
        <v>20</v>
      </c>
      <c r="T27" s="271">
        <v>67.5</v>
      </c>
      <c r="U27" s="271">
        <v>69.090909090909093</v>
      </c>
      <c r="V27" s="272">
        <v>68.5</v>
      </c>
      <c r="W27" s="305">
        <v>68.36363636363636</v>
      </c>
      <c r="X27" s="111"/>
      <c r="Y27" s="78" t="s">
        <v>31</v>
      </c>
      <c r="Z27" s="19"/>
      <c r="AA27" s="3"/>
      <c r="AB27" s="3"/>
      <c r="AC27" s="25"/>
      <c r="AD27" s="88"/>
      <c r="AE27" s="78"/>
    </row>
    <row r="28" spans="1:31">
      <c r="A28" s="3" t="s">
        <v>48</v>
      </c>
      <c r="B28" t="s">
        <v>49</v>
      </c>
      <c r="C28" s="205" t="s">
        <v>50</v>
      </c>
      <c r="D28" s="205" t="s">
        <v>51</v>
      </c>
      <c r="E28" s="205">
        <v>6</v>
      </c>
      <c r="F28" s="88">
        <f t="shared" ref="F28:F30" si="4">L28+R28+X28+AD28</f>
        <v>0</v>
      </c>
      <c r="G28" s="78"/>
      <c r="H28" s="19"/>
      <c r="I28" s="11"/>
      <c r="J28" s="3"/>
      <c r="K28" s="25"/>
      <c r="L28" s="88"/>
      <c r="M28" s="78"/>
      <c r="N28" s="259"/>
      <c r="O28" s="260"/>
      <c r="P28" s="260"/>
      <c r="Q28" s="261"/>
      <c r="R28" s="88"/>
      <c r="S28" s="78"/>
      <c r="T28" s="19"/>
      <c r="U28" s="3"/>
      <c r="V28" s="3"/>
      <c r="W28" s="306"/>
      <c r="X28" s="111"/>
      <c r="Y28" s="78"/>
      <c r="Z28" s="19"/>
      <c r="AA28" s="3"/>
      <c r="AB28" s="3"/>
      <c r="AC28" s="25"/>
      <c r="AD28" s="88"/>
      <c r="AE28" s="78"/>
    </row>
    <row r="29" spans="1:31">
      <c r="A29" s="3" t="s">
        <v>166</v>
      </c>
      <c r="B29" s="3" t="s">
        <v>167</v>
      </c>
      <c r="C29" s="3" t="s">
        <v>168</v>
      </c>
      <c r="D29" s="220" t="s">
        <v>173</v>
      </c>
      <c r="E29" s="171"/>
      <c r="F29" s="88">
        <f t="shared" si="4"/>
        <v>20</v>
      </c>
      <c r="G29" s="78"/>
      <c r="H29" s="19">
        <v>70</v>
      </c>
      <c r="I29" s="11">
        <v>75</v>
      </c>
      <c r="J29" s="3">
        <v>70</v>
      </c>
      <c r="K29" s="25">
        <v>72</v>
      </c>
      <c r="L29" s="88">
        <v>20</v>
      </c>
      <c r="M29" s="78">
        <f t="shared" ref="M29" si="5">L29</f>
        <v>20</v>
      </c>
      <c r="N29" s="259">
        <v>69.5</v>
      </c>
      <c r="O29" s="260">
        <v>60</v>
      </c>
      <c r="P29" s="260">
        <v>71</v>
      </c>
      <c r="Q29" s="261">
        <v>66.5</v>
      </c>
      <c r="R29" s="88"/>
      <c r="S29" s="78" t="s">
        <v>31</v>
      </c>
      <c r="T29" s="19"/>
      <c r="U29" s="3"/>
      <c r="V29" s="3"/>
      <c r="W29" s="305"/>
      <c r="X29" s="111"/>
      <c r="Y29" s="78"/>
      <c r="Z29" s="19"/>
      <c r="AA29" s="3"/>
      <c r="AB29" s="3"/>
      <c r="AC29" s="25"/>
      <c r="AD29" s="88"/>
      <c r="AE29" s="78"/>
    </row>
    <row r="30" spans="1:31">
      <c r="A30" s="3" t="s">
        <v>174</v>
      </c>
      <c r="B30" s="3" t="s">
        <v>175</v>
      </c>
      <c r="C30" s="3" t="s">
        <v>176</v>
      </c>
      <c r="D30" s="3" t="s">
        <v>177</v>
      </c>
      <c r="E30" s="171"/>
      <c r="F30" s="88">
        <f t="shared" si="4"/>
        <v>19</v>
      </c>
      <c r="G30" s="78"/>
      <c r="H30" s="19"/>
      <c r="I30" s="11"/>
      <c r="J30" s="3"/>
      <c r="K30" s="25"/>
      <c r="L30" s="88"/>
      <c r="M30" s="78"/>
      <c r="N30" s="259">
        <v>82</v>
      </c>
      <c r="O30" s="260">
        <v>70.900000000000006</v>
      </c>
      <c r="P30" s="260">
        <v>85.5</v>
      </c>
      <c r="Q30" s="261">
        <v>79.19</v>
      </c>
      <c r="R30" s="88">
        <v>19</v>
      </c>
      <c r="S30" s="78">
        <f t="shared" ref="S30" si="6">R30</f>
        <v>19</v>
      </c>
      <c r="T30" s="271">
        <f>0.65*50+0.7*10+0.7*20+0.75*20</f>
        <v>68.5</v>
      </c>
      <c r="U30" s="271">
        <f>(0.65*50+0.7*20+0.6*20+0.7*20)*(100/110)</f>
        <v>65.909090909090907</v>
      </c>
      <c r="V30" s="272">
        <f>0.75*30+0.75*30+0.7*20+0.8*20</f>
        <v>75</v>
      </c>
      <c r="W30" s="305" cm="1">
        <f t="array" ref="W30">_xlfn.IFS(T30&gt;"A","",U30&gt;"A","",V30&gt;"A","",TRUE,AVERAGE(T30:V30))</f>
        <v>69.803030303030297</v>
      </c>
      <c r="X30" s="111"/>
      <c r="Y30" s="78" t="s">
        <v>31</v>
      </c>
      <c r="Z30" s="19">
        <v>51</v>
      </c>
      <c r="AA30" s="3">
        <v>70</v>
      </c>
      <c r="AB30" s="3">
        <v>78</v>
      </c>
      <c r="AC30" s="25">
        <v>64.17</v>
      </c>
      <c r="AD30" s="88"/>
      <c r="AE30" s="78" t="s">
        <v>31</v>
      </c>
    </row>
    <row r="31" spans="1:31">
      <c r="A31" s="2"/>
      <c r="B31" s="2"/>
      <c r="C31" s="2"/>
      <c r="D31" s="2"/>
      <c r="E31" s="171"/>
      <c r="F31" s="88">
        <f t="shared" ref="F31:F35" si="7">L31+R31+X31+AD31</f>
        <v>0</v>
      </c>
      <c r="G31" s="78"/>
      <c r="H31" s="19"/>
      <c r="I31" s="11"/>
      <c r="J31" s="3"/>
      <c r="K31" s="25"/>
      <c r="L31" s="88"/>
      <c r="M31" s="78"/>
      <c r="N31" s="259"/>
      <c r="O31" s="260"/>
      <c r="P31" s="260"/>
      <c r="Q31" s="261"/>
      <c r="R31" s="88"/>
      <c r="S31" s="78"/>
      <c r="T31" s="19"/>
      <c r="U31" s="3"/>
      <c r="V31" s="3"/>
      <c r="W31" s="305"/>
      <c r="X31" s="111"/>
      <c r="Y31" s="78"/>
      <c r="Z31" s="19"/>
      <c r="AA31" s="3"/>
      <c r="AB31" s="3"/>
      <c r="AC31" s="25"/>
      <c r="AD31" s="88"/>
      <c r="AE31" s="78"/>
    </row>
    <row r="32" spans="1:31">
      <c r="A32" s="2"/>
      <c r="B32" s="2"/>
      <c r="C32" s="2"/>
      <c r="D32" s="2"/>
      <c r="E32" s="171"/>
      <c r="F32" s="88">
        <f t="shared" si="7"/>
        <v>0</v>
      </c>
      <c r="G32" s="78"/>
      <c r="H32" s="19"/>
      <c r="I32" s="11"/>
      <c r="J32" s="3"/>
      <c r="K32" s="25"/>
      <c r="L32" s="88"/>
      <c r="M32" s="78"/>
      <c r="N32" s="259"/>
      <c r="O32" s="260"/>
      <c r="P32" s="260"/>
      <c r="Q32" s="261"/>
      <c r="R32" s="88"/>
      <c r="S32" s="78"/>
      <c r="T32" s="19"/>
      <c r="U32" s="3"/>
      <c r="V32" s="3"/>
      <c r="W32" s="305"/>
      <c r="X32" s="111"/>
      <c r="Y32" s="78"/>
      <c r="Z32" s="19"/>
      <c r="AA32" s="3"/>
      <c r="AB32" s="3"/>
      <c r="AC32" s="25"/>
      <c r="AD32" s="88"/>
      <c r="AE32" s="78"/>
    </row>
    <row r="33" spans="1:31">
      <c r="A33" s="2"/>
      <c r="B33" s="2"/>
      <c r="C33" s="2"/>
      <c r="D33" s="2"/>
      <c r="E33" s="171"/>
      <c r="F33" s="88">
        <f t="shared" si="7"/>
        <v>0</v>
      </c>
      <c r="G33" s="78"/>
      <c r="H33" s="19"/>
      <c r="I33" s="11"/>
      <c r="J33" s="3"/>
      <c r="K33" s="25"/>
      <c r="L33" s="88"/>
      <c r="M33" s="78"/>
      <c r="N33" s="259"/>
      <c r="O33" s="260"/>
      <c r="P33" s="260"/>
      <c r="Q33" s="261"/>
      <c r="R33" s="88"/>
      <c r="S33" s="78"/>
      <c r="T33" s="76"/>
      <c r="U33" s="3"/>
      <c r="V33" s="3"/>
      <c r="W33" s="25"/>
      <c r="X33" s="338"/>
      <c r="Y33" s="78"/>
      <c r="Z33" s="76"/>
      <c r="AA33" s="3"/>
      <c r="AB33" s="3"/>
      <c r="AC33" s="25"/>
      <c r="AD33" s="107"/>
      <c r="AE33" s="78"/>
    </row>
    <row r="34" spans="1:31">
      <c r="A34" s="2"/>
      <c r="B34" s="2"/>
      <c r="C34" s="2"/>
      <c r="D34" s="2"/>
      <c r="E34" s="171"/>
      <c r="F34" s="88">
        <f t="shared" si="7"/>
        <v>0</v>
      </c>
      <c r="G34" s="78"/>
      <c r="H34" s="19"/>
      <c r="I34" s="11"/>
      <c r="J34" s="3"/>
      <c r="K34" s="25"/>
      <c r="L34" s="88"/>
      <c r="M34" s="78"/>
      <c r="N34" s="259"/>
      <c r="O34" s="260"/>
      <c r="P34" s="260"/>
      <c r="Q34" s="261"/>
      <c r="R34" s="88"/>
      <c r="S34" s="78"/>
      <c r="T34" s="76"/>
      <c r="U34" s="3"/>
      <c r="V34" s="3"/>
      <c r="W34" s="25"/>
      <c r="X34" s="338"/>
      <c r="Y34" s="78"/>
      <c r="Z34" s="76"/>
      <c r="AA34" s="3"/>
      <c r="AB34" s="3"/>
      <c r="AC34" s="25"/>
      <c r="AD34" s="107"/>
      <c r="AE34" s="78"/>
    </row>
    <row r="35" spans="1:31" ht="16.5" thickBot="1">
      <c r="A35" s="2"/>
      <c r="B35" s="2"/>
      <c r="C35" s="2"/>
      <c r="D35" s="2"/>
      <c r="E35" s="5"/>
      <c r="F35" s="90">
        <f t="shared" si="7"/>
        <v>0</v>
      </c>
      <c r="G35" s="86"/>
      <c r="H35" s="19"/>
      <c r="I35" s="11"/>
      <c r="J35" s="3"/>
      <c r="K35" s="16"/>
      <c r="L35" s="159"/>
      <c r="M35" s="161"/>
      <c r="N35" s="259"/>
      <c r="O35" s="260"/>
      <c r="P35" s="260"/>
      <c r="Q35" s="266"/>
      <c r="R35" s="90"/>
      <c r="S35" s="86"/>
      <c r="T35" s="76"/>
      <c r="U35" s="3"/>
      <c r="V35" s="3"/>
      <c r="W35" s="25"/>
      <c r="X35" s="341"/>
      <c r="Y35" s="86"/>
      <c r="Z35" s="76"/>
      <c r="AA35" s="3"/>
      <c r="AB35" s="3"/>
      <c r="AC35" s="16"/>
      <c r="AD35" s="108"/>
      <c r="AE35" s="86"/>
    </row>
    <row r="36" spans="1:31">
      <c r="A36" s="7"/>
      <c r="B36" s="7"/>
      <c r="C36" s="7"/>
      <c r="D36" s="7"/>
      <c r="E36" s="7"/>
    </row>
    <row r="37" spans="1:31" ht="16.5" thickBot="1">
      <c r="A37" s="7"/>
      <c r="B37" s="7"/>
      <c r="C37" s="7"/>
      <c r="D37" s="7"/>
      <c r="E37" s="7"/>
    </row>
    <row r="38" spans="1:31" ht="24" thickBot="1">
      <c r="H38" s="418" t="s">
        <v>155</v>
      </c>
      <c r="I38" s="403"/>
      <c r="J38" s="403"/>
      <c r="K38" s="403"/>
      <c r="L38" s="403"/>
      <c r="M38" s="404"/>
      <c r="N38" s="399" t="s">
        <v>156</v>
      </c>
      <c r="O38" s="400"/>
      <c r="P38" s="400"/>
      <c r="Q38" s="400"/>
      <c r="R38" s="400"/>
      <c r="S38" s="401"/>
      <c r="T38" s="390" t="s">
        <v>4</v>
      </c>
      <c r="U38" s="420"/>
      <c r="V38" s="420"/>
      <c r="W38" s="420"/>
      <c r="X38" s="420"/>
      <c r="Y38" s="421"/>
      <c r="Z38" s="427" t="s">
        <v>157</v>
      </c>
      <c r="AA38" s="428"/>
      <c r="AB38" s="428"/>
      <c r="AC38" s="428"/>
      <c r="AD38" s="428"/>
      <c r="AE38" s="429"/>
    </row>
    <row r="39" spans="1:31" ht="47.25">
      <c r="A39" s="416" t="s">
        <v>178</v>
      </c>
      <c r="B39" s="409"/>
      <c r="C39" s="409"/>
      <c r="D39" s="409"/>
      <c r="E39" s="409"/>
      <c r="F39" s="117" t="s">
        <v>9</v>
      </c>
      <c r="G39" s="51" t="s">
        <v>10</v>
      </c>
      <c r="H39" s="59" t="s">
        <v>159</v>
      </c>
      <c r="I39" s="56" t="s">
        <v>160</v>
      </c>
      <c r="J39" s="248" t="s">
        <v>161</v>
      </c>
      <c r="K39" s="246" t="s">
        <v>162</v>
      </c>
      <c r="L39" s="97" t="s">
        <v>15</v>
      </c>
      <c r="M39" s="51" t="s">
        <v>16</v>
      </c>
      <c r="N39" s="255" t="s">
        <v>159</v>
      </c>
      <c r="O39" s="265" t="s">
        <v>160</v>
      </c>
      <c r="P39" s="257" t="s">
        <v>161</v>
      </c>
      <c r="Q39" s="258" t="s">
        <v>162</v>
      </c>
      <c r="R39" s="87" t="s">
        <v>15</v>
      </c>
      <c r="S39" s="57" t="s">
        <v>16</v>
      </c>
      <c r="T39" s="59" t="s">
        <v>159</v>
      </c>
      <c r="U39" s="56" t="s">
        <v>160</v>
      </c>
      <c r="V39" s="188" t="s">
        <v>161</v>
      </c>
      <c r="W39" s="246" t="s">
        <v>162</v>
      </c>
      <c r="X39" s="103" t="s">
        <v>15</v>
      </c>
      <c r="Y39" s="51" t="s">
        <v>16</v>
      </c>
      <c r="Z39" s="59" t="s">
        <v>159</v>
      </c>
      <c r="AA39" s="56" t="s">
        <v>160</v>
      </c>
      <c r="AB39" s="188" t="s">
        <v>161</v>
      </c>
      <c r="AC39" s="246" t="s">
        <v>162</v>
      </c>
      <c r="AD39" s="87" t="s">
        <v>15</v>
      </c>
      <c r="AE39" s="57" t="s">
        <v>16</v>
      </c>
    </row>
    <row r="40" spans="1:31" s="43" customFormat="1">
      <c r="A40" s="1" t="s">
        <v>22</v>
      </c>
      <c r="B40" s="1" t="s">
        <v>23</v>
      </c>
      <c r="C40" s="4" t="s">
        <v>24</v>
      </c>
      <c r="D40" s="1" t="s">
        <v>25</v>
      </c>
      <c r="E40" s="4" t="s">
        <v>26</v>
      </c>
      <c r="F40" s="88"/>
      <c r="G40" s="78"/>
      <c r="H40" s="19"/>
      <c r="I40" s="11"/>
      <c r="J40" s="3"/>
      <c r="K40" s="16"/>
      <c r="L40" s="88"/>
      <c r="M40" s="78"/>
      <c r="N40" s="259"/>
      <c r="O40" s="267"/>
      <c r="P40" s="260"/>
      <c r="Q40" s="261"/>
      <c r="R40" s="88"/>
      <c r="S40" s="78"/>
      <c r="T40" s="19"/>
      <c r="U40" s="11"/>
      <c r="V40" s="3"/>
      <c r="W40" s="25"/>
      <c r="X40" s="111"/>
      <c r="Y40" s="78"/>
      <c r="Z40" s="19"/>
      <c r="AA40" s="11"/>
      <c r="AB40" s="3"/>
      <c r="AC40" s="25"/>
      <c r="AD40" s="88"/>
      <c r="AE40" s="78"/>
    </row>
    <row r="41" spans="1:31">
      <c r="A41" s="3" t="s">
        <v>27</v>
      </c>
      <c r="B41" s="3" t="s">
        <v>28</v>
      </c>
      <c r="C41" s="202" t="s">
        <v>29</v>
      </c>
      <c r="D41" s="202" t="s">
        <v>30</v>
      </c>
      <c r="E41" s="217">
        <v>5</v>
      </c>
      <c r="F41" s="88">
        <f>L41+R41+X41+AD41</f>
        <v>57</v>
      </c>
      <c r="G41" s="78">
        <v>39</v>
      </c>
      <c r="H41" s="19">
        <v>90</v>
      </c>
      <c r="I41" s="11">
        <v>92</v>
      </c>
      <c r="J41" s="3">
        <v>94</v>
      </c>
      <c r="K41" s="16">
        <v>92</v>
      </c>
      <c r="L41" s="88">
        <v>20</v>
      </c>
      <c r="M41" s="78">
        <f t="shared" ref="M41" si="8">L41</f>
        <v>20</v>
      </c>
      <c r="N41" s="259">
        <v>80</v>
      </c>
      <c r="O41" s="267">
        <v>77</v>
      </c>
      <c r="P41" s="260">
        <v>74.5</v>
      </c>
      <c r="Q41" s="261">
        <v>76.900000000000006</v>
      </c>
      <c r="R41" s="88">
        <v>18</v>
      </c>
      <c r="S41" s="78">
        <f t="shared" ref="S41" si="9">R41</f>
        <v>18</v>
      </c>
      <c r="T41" s="271">
        <f>(7+6+6.5+6.5+7+7+6.5+6.5+8.5*2+8.5*2+8.5*2)*100/140</f>
        <v>74.285714285714292</v>
      </c>
      <c r="U41" s="271">
        <f>0.6*50+0.65*10+0.5*20+0.7*20</f>
        <v>60.5</v>
      </c>
      <c r="V41" s="271">
        <f>0.85*30+0.85*30+0.85*20+0.7*20</f>
        <v>82</v>
      </c>
      <c r="W41" s="305" cm="1">
        <f t="array" ref="W41">_xlfn.IFS(T41&gt;"A","",U41&gt;"A","",V41&gt;"A","",TRUE,AVERAGE(T41:V41))</f>
        <v>72.261904761904759</v>
      </c>
      <c r="X41" s="111"/>
      <c r="Y41" s="78" t="s">
        <v>31</v>
      </c>
      <c r="Z41" s="19">
        <v>89.5</v>
      </c>
      <c r="AA41" s="11">
        <v>70</v>
      </c>
      <c r="AB41" s="3">
        <v>77</v>
      </c>
      <c r="AC41" s="25">
        <v>72.5</v>
      </c>
      <c r="AD41" s="88">
        <v>19</v>
      </c>
      <c r="AE41" s="78">
        <v>19</v>
      </c>
    </row>
    <row r="42" spans="1:31">
      <c r="A42" s="3" t="s">
        <v>179</v>
      </c>
      <c r="B42" s="3" t="s">
        <v>180</v>
      </c>
      <c r="C42" s="202" t="s">
        <v>181</v>
      </c>
      <c r="D42" s="202" t="s">
        <v>182</v>
      </c>
      <c r="E42" s="216">
        <v>6</v>
      </c>
      <c r="F42" s="88">
        <f t="shared" ref="F42:F43" si="10">L42+R42+X42+AD42</f>
        <v>19</v>
      </c>
      <c r="G42" s="78"/>
      <c r="H42" s="19"/>
      <c r="I42" s="11"/>
      <c r="J42" s="3"/>
      <c r="K42" s="16"/>
      <c r="L42" s="88"/>
      <c r="M42" s="78"/>
      <c r="N42" s="259">
        <v>84.5</v>
      </c>
      <c r="O42" s="267">
        <v>77.5</v>
      </c>
      <c r="P42" s="260">
        <v>84.5</v>
      </c>
      <c r="Q42" s="261">
        <v>77.5</v>
      </c>
      <c r="R42" s="88">
        <v>19</v>
      </c>
      <c r="S42" s="78">
        <f t="shared" ref="S42" si="11">R42</f>
        <v>19</v>
      </c>
      <c r="T42" s="271">
        <f>(6.5+6.5+7+6+6.5+6.5+7+6+7*2+7*2+7*2-10)*100/140</f>
        <v>60</v>
      </c>
      <c r="U42" s="271">
        <f>0.65*50+0.7*10+0.8*20+0.9*20</f>
        <v>73.5</v>
      </c>
      <c r="V42" s="271">
        <f>0.7*30+0.7*30+0.75*20+0.9*20</f>
        <v>75</v>
      </c>
      <c r="W42" s="305" cm="1">
        <f t="array" ref="W42">_xlfn.IFS(T42&gt;"A","",U42&gt;"A","",V42&gt;"A","",TRUE,AVERAGE(T42:V42))</f>
        <v>69.5</v>
      </c>
      <c r="X42" s="111"/>
      <c r="Y42" s="78" t="s">
        <v>31</v>
      </c>
      <c r="Z42" s="19">
        <v>75.709999999999994</v>
      </c>
      <c r="AA42" s="11">
        <v>72</v>
      </c>
      <c r="AB42" s="3" t="s">
        <v>516</v>
      </c>
      <c r="AC42" s="25">
        <v>72.209999999999994</v>
      </c>
      <c r="AD42" s="88"/>
      <c r="AE42" s="78" t="s">
        <v>31</v>
      </c>
    </row>
    <row r="43" spans="1:31">
      <c r="A43" s="3" t="s">
        <v>40</v>
      </c>
      <c r="B43" s="3" t="s">
        <v>41</v>
      </c>
      <c r="C43" s="202" t="s">
        <v>42</v>
      </c>
      <c r="D43" s="202" t="s">
        <v>43</v>
      </c>
      <c r="E43" s="216">
        <v>6</v>
      </c>
      <c r="F43" s="88">
        <f t="shared" si="10"/>
        <v>0</v>
      </c>
      <c r="G43" s="78"/>
      <c r="H43" s="19"/>
      <c r="I43" s="11"/>
      <c r="J43" s="3"/>
      <c r="K43" s="16"/>
      <c r="L43" s="88"/>
      <c r="M43" s="78"/>
      <c r="N43" s="259"/>
      <c r="O43" s="267"/>
      <c r="P43" s="260"/>
      <c r="Q43" s="261" t="str">
        <f>IFERROR(AVERAGE(N43:P43),"")</f>
        <v/>
      </c>
      <c r="R43" s="88"/>
      <c r="S43" s="78"/>
      <c r="T43" s="19"/>
      <c r="U43" s="11"/>
      <c r="V43" s="3"/>
      <c r="W43" s="305"/>
      <c r="X43" s="111"/>
      <c r="Y43" s="78"/>
      <c r="Z43" s="19"/>
      <c r="AA43" s="11"/>
      <c r="AB43" s="3"/>
      <c r="AC43" s="25"/>
      <c r="AD43" s="88"/>
      <c r="AE43" s="78"/>
    </row>
    <row r="44" spans="1:31">
      <c r="A44" s="3" t="s">
        <v>32</v>
      </c>
      <c r="B44" s="3" t="s">
        <v>33</v>
      </c>
      <c r="C44" s="3" t="s">
        <v>34</v>
      </c>
      <c r="D44" s="3" t="s">
        <v>183</v>
      </c>
      <c r="E44" s="205">
        <v>6</v>
      </c>
      <c r="F44" s="88">
        <f>L44+R44+X44+AD44</f>
        <v>65</v>
      </c>
      <c r="G44" s="78">
        <f>SUM(S44,AE44)</f>
        <v>40</v>
      </c>
      <c r="H44" s="19"/>
      <c r="I44" s="11"/>
      <c r="J44" s="3"/>
      <c r="K44" s="16"/>
      <c r="L44" s="88"/>
      <c r="M44" s="78"/>
      <c r="N44" s="259">
        <v>86.7</v>
      </c>
      <c r="O44" s="267">
        <v>88</v>
      </c>
      <c r="P44" s="260">
        <v>93.5</v>
      </c>
      <c r="Q44" s="261">
        <v>83.97</v>
      </c>
      <c r="R44" s="88">
        <v>20</v>
      </c>
      <c r="S44" s="78">
        <f t="shared" ref="S44" si="12">R44</f>
        <v>20</v>
      </c>
      <c r="T44" s="271">
        <f>(8+8+5+5.5+6.5+7+6+7+8*2+8*2+8*2)*100/140</f>
        <v>72.142857142857139</v>
      </c>
      <c r="U44" s="271">
        <f>0.9*50+0.85*10+0.9*20+0.9*20</f>
        <v>89.5</v>
      </c>
      <c r="V44" s="271">
        <f>0.8*30+0.8*30+0.75*20+0.9*20</f>
        <v>81</v>
      </c>
      <c r="W44" s="305" cm="1">
        <f t="array" ref="W44">_xlfn.IFS(T44&gt;"A","",U44&gt;"A","",V44&gt;"A","",TRUE,AVERAGE(T44:V44))</f>
        <v>80.88095238095238</v>
      </c>
      <c r="X44" s="111">
        <v>25</v>
      </c>
      <c r="Y44" s="78">
        <v>20</v>
      </c>
      <c r="Z44" s="19">
        <v>79.64</v>
      </c>
      <c r="AA44" s="11">
        <v>90</v>
      </c>
      <c r="AB44" s="3">
        <v>79</v>
      </c>
      <c r="AC44" s="25">
        <v>82.5</v>
      </c>
      <c r="AD44" s="88">
        <v>20</v>
      </c>
      <c r="AE44" s="78">
        <v>20</v>
      </c>
    </row>
    <row r="45" spans="1:31">
      <c r="A45" s="3"/>
      <c r="B45" s="3"/>
      <c r="C45" s="3"/>
      <c r="E45" s="5"/>
      <c r="F45" s="88">
        <f t="shared" ref="F45" si="13">L45+R45+X45+AD45</f>
        <v>0</v>
      </c>
      <c r="G45" s="78"/>
      <c r="H45" s="19"/>
      <c r="I45" s="11"/>
      <c r="J45" s="3"/>
      <c r="K45" s="16"/>
      <c r="L45" s="88"/>
      <c r="M45" s="78"/>
      <c r="N45" s="259"/>
      <c r="O45" s="267"/>
      <c r="P45" s="260"/>
      <c r="Q45" s="261" t="str">
        <f>IFERROR(AVERAGE(N45:P45),"")</f>
        <v/>
      </c>
      <c r="R45" s="88"/>
      <c r="S45" s="78"/>
      <c r="T45" s="19"/>
      <c r="U45" s="11"/>
      <c r="V45" s="3"/>
      <c r="W45" s="305"/>
      <c r="X45" s="111"/>
      <c r="Y45" s="78"/>
      <c r="Z45" s="19"/>
      <c r="AA45" s="11"/>
      <c r="AB45" s="3"/>
      <c r="AC45" s="25"/>
      <c r="AD45" s="88"/>
      <c r="AE45" s="78"/>
    </row>
    <row r="46" spans="1:31">
      <c r="A46" s="2"/>
      <c r="B46" s="2"/>
      <c r="C46" s="5"/>
      <c r="D46" s="2"/>
      <c r="E46" s="5"/>
      <c r="F46" s="88">
        <f t="shared" ref="F46:F49" si="14">L46+R46+X46+AD46</f>
        <v>0</v>
      </c>
      <c r="G46" s="78"/>
      <c r="H46" s="19"/>
      <c r="I46" s="11"/>
      <c r="J46" s="3"/>
      <c r="K46" s="16"/>
      <c r="L46" s="88"/>
      <c r="M46" s="78"/>
      <c r="N46" s="259"/>
      <c r="O46" s="267"/>
      <c r="P46" s="260"/>
      <c r="Q46" s="261"/>
      <c r="R46" s="88"/>
      <c r="S46" s="78"/>
      <c r="T46" s="19"/>
      <c r="U46" s="11"/>
      <c r="V46" s="3"/>
      <c r="W46" s="25"/>
      <c r="X46" s="111"/>
      <c r="Y46" s="78"/>
      <c r="Z46" s="19"/>
      <c r="AA46" s="11"/>
      <c r="AB46" s="3"/>
      <c r="AC46" s="25"/>
      <c r="AD46" s="88"/>
      <c r="AE46" s="78"/>
    </row>
    <row r="47" spans="1:31">
      <c r="A47" s="2"/>
      <c r="B47" s="2"/>
      <c r="C47" s="2"/>
      <c r="D47" s="2"/>
      <c r="E47" s="5"/>
      <c r="F47" s="88">
        <f t="shared" si="14"/>
        <v>0</v>
      </c>
      <c r="G47" s="78"/>
      <c r="H47" s="19"/>
      <c r="I47" s="11"/>
      <c r="J47" s="3"/>
      <c r="K47" s="16"/>
      <c r="L47" s="88"/>
      <c r="M47" s="78"/>
      <c r="N47" s="259"/>
      <c r="O47" s="267"/>
      <c r="P47" s="260"/>
      <c r="Q47" s="261"/>
      <c r="R47" s="88"/>
      <c r="S47" s="78"/>
      <c r="T47" s="19"/>
      <c r="U47" s="11"/>
      <c r="V47" s="3"/>
      <c r="W47" s="25"/>
      <c r="X47" s="111"/>
      <c r="Y47" s="78"/>
      <c r="Z47" s="19"/>
      <c r="AA47" s="11"/>
      <c r="AB47" s="3"/>
      <c r="AC47" s="25"/>
      <c r="AD47" s="88"/>
      <c r="AE47" s="78"/>
    </row>
    <row r="48" spans="1:31">
      <c r="A48" s="2"/>
      <c r="B48" s="2"/>
      <c r="C48" s="2"/>
      <c r="D48" s="2"/>
      <c r="E48" s="5"/>
      <c r="F48" s="88">
        <f t="shared" si="14"/>
        <v>0</v>
      </c>
      <c r="G48" s="78"/>
      <c r="H48" s="19"/>
      <c r="I48" s="11"/>
      <c r="J48" s="3"/>
      <c r="K48" s="16"/>
      <c r="L48" s="88"/>
      <c r="M48" s="78"/>
      <c r="N48" s="259"/>
      <c r="O48" s="267"/>
      <c r="P48" s="260"/>
      <c r="Q48" s="261"/>
      <c r="R48" s="88"/>
      <c r="S48" s="78"/>
      <c r="T48" s="19"/>
      <c r="U48" s="11"/>
      <c r="V48" s="3"/>
      <c r="W48" s="25"/>
      <c r="X48" s="111"/>
      <c r="Y48" s="78"/>
      <c r="Z48" s="19"/>
      <c r="AA48" s="11"/>
      <c r="AB48" s="3"/>
      <c r="AC48" s="25"/>
      <c r="AD48" s="88"/>
      <c r="AE48" s="78"/>
    </row>
    <row r="49" spans="1:31" ht="16.5" thickBot="1">
      <c r="A49" s="2"/>
      <c r="B49" s="2"/>
      <c r="C49" s="2"/>
      <c r="D49" s="178"/>
      <c r="E49" s="72"/>
      <c r="F49" s="90">
        <f t="shared" si="14"/>
        <v>0</v>
      </c>
      <c r="G49" s="86"/>
      <c r="H49" s="19"/>
      <c r="I49" s="11"/>
      <c r="J49" s="3"/>
      <c r="K49" s="16"/>
      <c r="L49" s="159"/>
      <c r="M49" s="161"/>
      <c r="N49" s="259"/>
      <c r="O49" s="267"/>
      <c r="P49" s="260"/>
      <c r="Q49" s="266"/>
      <c r="R49" s="159"/>
      <c r="S49" s="161"/>
      <c r="T49" s="19"/>
      <c r="U49" s="11"/>
      <c r="V49" s="3"/>
      <c r="W49" s="25"/>
      <c r="X49" s="342"/>
      <c r="Y49" s="161"/>
      <c r="Z49" s="19"/>
      <c r="AA49" s="11"/>
      <c r="AB49" s="3"/>
      <c r="AC49" s="16"/>
      <c r="AD49" s="159"/>
      <c r="AE49" s="161"/>
    </row>
    <row r="50" spans="1:31">
      <c r="A50" s="7"/>
      <c r="B50" s="7"/>
      <c r="C50" s="7"/>
      <c r="D50" s="73"/>
      <c r="E50" s="73"/>
      <c r="L50" s="9"/>
      <c r="M50" s="9"/>
      <c r="R50" s="180"/>
      <c r="S50" s="180"/>
      <c r="T50" s="45"/>
      <c r="Z50" s="45"/>
    </row>
    <row r="51" spans="1:31" ht="16.5" thickBot="1">
      <c r="A51" s="7"/>
      <c r="B51" s="7"/>
      <c r="C51" s="7"/>
      <c r="D51" s="73"/>
      <c r="E51" s="73"/>
      <c r="L51" s="9"/>
      <c r="M51" s="9"/>
      <c r="R51" s="9"/>
      <c r="S51" s="9"/>
      <c r="T51" s="45"/>
      <c r="Z51" s="45"/>
    </row>
    <row r="52" spans="1:31" ht="24" thickBot="1">
      <c r="A52" s="7"/>
      <c r="B52" s="7"/>
      <c r="C52" s="7"/>
      <c r="D52" s="7"/>
      <c r="E52" s="7"/>
      <c r="F52" s="7"/>
      <c r="G52" s="7"/>
      <c r="H52" s="418" t="s">
        <v>184</v>
      </c>
      <c r="I52" s="403"/>
      <c r="J52" s="403"/>
      <c r="K52" s="403"/>
      <c r="L52" s="403"/>
      <c r="M52" s="404"/>
      <c r="N52" s="399" t="s">
        <v>156</v>
      </c>
      <c r="O52" s="400"/>
      <c r="P52" s="400"/>
      <c r="Q52" s="400"/>
      <c r="R52" s="400"/>
      <c r="S52" s="401"/>
      <c r="T52" s="390" t="s">
        <v>4</v>
      </c>
      <c r="U52" s="420"/>
      <c r="V52" s="420"/>
      <c r="W52" s="420"/>
      <c r="X52" s="420"/>
      <c r="Y52" s="421"/>
      <c r="Z52" s="427" t="s">
        <v>157</v>
      </c>
      <c r="AA52" s="428"/>
      <c r="AB52" s="428"/>
      <c r="AC52" s="428"/>
      <c r="AD52" s="428"/>
      <c r="AE52" s="429"/>
    </row>
    <row r="53" spans="1:31" ht="47.25">
      <c r="A53" s="416" t="s">
        <v>185</v>
      </c>
      <c r="B53" s="409"/>
      <c r="C53" s="409"/>
      <c r="D53" s="409"/>
      <c r="E53" s="409"/>
      <c r="F53" s="117" t="s">
        <v>9</v>
      </c>
      <c r="G53" s="51" t="s">
        <v>10</v>
      </c>
      <c r="H53" s="59" t="s">
        <v>159</v>
      </c>
      <c r="I53" s="56" t="s">
        <v>160</v>
      </c>
      <c r="J53" s="248" t="s">
        <v>161</v>
      </c>
      <c r="K53" s="246" t="s">
        <v>162</v>
      </c>
      <c r="L53" s="97" t="s">
        <v>15</v>
      </c>
      <c r="M53" s="51" t="s">
        <v>16</v>
      </c>
      <c r="N53" s="255" t="s">
        <v>159</v>
      </c>
      <c r="O53" s="265" t="s">
        <v>160</v>
      </c>
      <c r="P53" s="268" t="s">
        <v>161</v>
      </c>
      <c r="Q53" s="258" t="s">
        <v>162</v>
      </c>
      <c r="R53" s="97" t="s">
        <v>15</v>
      </c>
      <c r="S53" s="51" t="s">
        <v>16</v>
      </c>
      <c r="T53" s="59" t="s">
        <v>159</v>
      </c>
      <c r="U53" s="56" t="s">
        <v>160</v>
      </c>
      <c r="V53" s="188" t="s">
        <v>161</v>
      </c>
      <c r="W53" s="246" t="s">
        <v>162</v>
      </c>
      <c r="X53" s="97" t="s">
        <v>15</v>
      </c>
      <c r="Y53" s="51" t="s">
        <v>16</v>
      </c>
      <c r="Z53" s="59" t="s">
        <v>159</v>
      </c>
      <c r="AA53" s="56" t="s">
        <v>160</v>
      </c>
      <c r="AB53" s="188" t="s">
        <v>161</v>
      </c>
      <c r="AC53" s="246" t="s">
        <v>162</v>
      </c>
      <c r="AD53" s="97" t="s">
        <v>15</v>
      </c>
      <c r="AE53" s="65" t="s">
        <v>16</v>
      </c>
    </row>
    <row r="54" spans="1:31" s="43" customFormat="1">
      <c r="A54" s="1" t="s">
        <v>22</v>
      </c>
      <c r="B54" s="1" t="s">
        <v>23</v>
      </c>
      <c r="C54" s="4" t="s">
        <v>24</v>
      </c>
      <c r="D54" s="1" t="s">
        <v>25</v>
      </c>
      <c r="E54" s="4" t="s">
        <v>26</v>
      </c>
      <c r="F54" s="88"/>
      <c r="G54" s="78"/>
      <c r="H54" s="19"/>
      <c r="I54" s="11"/>
      <c r="J54" s="3"/>
      <c r="K54" s="11"/>
      <c r="L54" s="88"/>
      <c r="M54" s="78"/>
      <c r="N54" s="259"/>
      <c r="O54" s="267"/>
      <c r="P54" s="260"/>
      <c r="Q54" s="261"/>
      <c r="R54" s="88"/>
      <c r="S54" s="78"/>
      <c r="T54" s="19"/>
      <c r="U54" s="11"/>
      <c r="V54" s="3"/>
      <c r="W54" s="25"/>
      <c r="X54" s="88"/>
      <c r="Y54" s="78"/>
      <c r="Z54" s="19"/>
      <c r="AA54" s="11"/>
      <c r="AB54" s="3"/>
      <c r="AC54" s="25"/>
      <c r="AD54" s="88"/>
      <c r="AE54" s="98"/>
    </row>
    <row r="55" spans="1:31">
      <c r="A55" s="3" t="s">
        <v>186</v>
      </c>
      <c r="B55" s="3" t="s">
        <v>187</v>
      </c>
      <c r="C55" s="202" t="s">
        <v>188</v>
      </c>
      <c r="D55" s="202" t="s">
        <v>189</v>
      </c>
      <c r="E55" s="205">
        <v>9</v>
      </c>
      <c r="F55" s="88">
        <f>L55+R55+X55+AD55</f>
        <v>20</v>
      </c>
      <c r="G55" s="78"/>
      <c r="H55" s="19"/>
      <c r="I55" s="11"/>
      <c r="J55" s="3"/>
      <c r="K55" s="11"/>
      <c r="L55" s="88"/>
      <c r="M55" s="78"/>
      <c r="N55" s="259"/>
      <c r="O55" s="267"/>
      <c r="P55" s="260"/>
      <c r="Q55" s="261" t="str">
        <f t="shared" ref="Q55:Q65" si="15">IFERROR(AVERAGE(N55:P55),"")</f>
        <v/>
      </c>
      <c r="R55" s="88"/>
      <c r="S55" s="78"/>
      <c r="T55" s="271">
        <f>0.65*50+0.6*10+0.65*20+0.9*20</f>
        <v>69.5</v>
      </c>
      <c r="U55" s="271">
        <f>(0.6*50+0.65*20+0.9*20+0.9*20)*(100/110)</f>
        <v>71.818181818181813</v>
      </c>
      <c r="V55" s="272">
        <f>0.7*30+0.7*30+0.85*20+0.9*20</f>
        <v>77</v>
      </c>
      <c r="W55" s="305" cm="1">
        <f t="array" ref="W55">_xlfn.IFS(T55&gt;"A","",U55&gt;"A","",V55&gt;"A","",TRUE,AVERAGE(T55:V55))</f>
        <v>72.772727272727266</v>
      </c>
      <c r="X55" s="88"/>
      <c r="Y55" s="78" t="s">
        <v>31</v>
      </c>
      <c r="Z55" s="19">
        <v>76</v>
      </c>
      <c r="AA55" s="11">
        <v>90</v>
      </c>
      <c r="AB55" s="3">
        <v>88</v>
      </c>
      <c r="AC55" s="25">
        <v>81.94</v>
      </c>
      <c r="AD55" s="88">
        <v>20</v>
      </c>
      <c r="AE55" s="98">
        <v>20</v>
      </c>
    </row>
    <row r="56" spans="1:31">
      <c r="A56" s="3" t="s">
        <v>190</v>
      </c>
      <c r="B56" s="3" t="s">
        <v>191</v>
      </c>
      <c r="C56" s="202" t="s">
        <v>79</v>
      </c>
      <c r="D56" s="202" t="s">
        <v>192</v>
      </c>
      <c r="E56" s="5"/>
      <c r="F56" s="88">
        <f t="shared" ref="F56:F63" si="16">L56+R56+X56+AD56</f>
        <v>0</v>
      </c>
      <c r="G56" s="78"/>
      <c r="H56" s="19"/>
      <c r="I56" s="11"/>
      <c r="J56" s="3"/>
      <c r="K56" s="11"/>
      <c r="L56" s="88"/>
      <c r="M56" s="78"/>
      <c r="N56" s="259"/>
      <c r="O56" s="267"/>
      <c r="P56" s="260"/>
      <c r="Q56" s="261" t="str">
        <f t="shared" si="15"/>
        <v/>
      </c>
      <c r="R56" s="88"/>
      <c r="S56" s="78"/>
      <c r="T56" s="19"/>
      <c r="U56" s="11"/>
      <c r="V56" s="3"/>
      <c r="W56" s="305"/>
      <c r="X56" s="88"/>
      <c r="Y56" s="78"/>
      <c r="Z56" s="19"/>
      <c r="AA56" s="11"/>
      <c r="AB56" s="3"/>
      <c r="AC56" s="25"/>
      <c r="AD56" s="88"/>
      <c r="AE56" s="98"/>
    </row>
    <row r="57" spans="1:31">
      <c r="A57" s="3" t="s">
        <v>193</v>
      </c>
      <c r="B57" s="3" t="s">
        <v>194</v>
      </c>
      <c r="C57" s="202" t="s">
        <v>195</v>
      </c>
      <c r="D57" s="202" t="s">
        <v>196</v>
      </c>
      <c r="E57" s="205">
        <v>7</v>
      </c>
      <c r="F57" s="88">
        <f t="shared" si="16"/>
        <v>19</v>
      </c>
      <c r="G57" s="78"/>
      <c r="H57" s="19"/>
      <c r="I57" s="11"/>
      <c r="J57" s="3"/>
      <c r="K57" s="11"/>
      <c r="L57" s="88"/>
      <c r="M57" s="78"/>
      <c r="N57" s="259">
        <v>77.5</v>
      </c>
      <c r="O57" s="267">
        <v>76.81</v>
      </c>
      <c r="P57" s="260">
        <v>76.5</v>
      </c>
      <c r="Q57" s="261">
        <v>76.900000000000006</v>
      </c>
      <c r="R57" s="88">
        <v>19</v>
      </c>
      <c r="S57" s="78">
        <f t="shared" ref="S57" si="17">R57</f>
        <v>19</v>
      </c>
      <c r="T57" s="271">
        <f>0.6*50+0.6*10+0.5*20+0.65*20</f>
        <v>59</v>
      </c>
      <c r="U57" s="271">
        <f>(0.7*50+0.65*20+0.8*20+0.6*20)*(100/110)</f>
        <v>69.090909090909093</v>
      </c>
      <c r="V57" s="272">
        <f>0.75*30+0.75*30+0.7*20+0.75*20</f>
        <v>74</v>
      </c>
      <c r="W57" s="305" cm="1">
        <f t="array" ref="W57">_xlfn.IFS(T57&gt;"A","",U57&gt;"A","",V57&gt;"A","",TRUE,AVERAGE(T57:V57))</f>
        <v>67.36363636363636</v>
      </c>
      <c r="X57" s="88"/>
      <c r="Y57" s="78" t="s">
        <v>31</v>
      </c>
      <c r="Z57" s="19"/>
      <c r="AA57" s="11"/>
      <c r="AB57" s="3"/>
      <c r="AC57" s="25"/>
      <c r="AD57" s="88"/>
      <c r="AE57" s="98"/>
    </row>
    <row r="58" spans="1:31">
      <c r="A58" s="3" t="s">
        <v>197</v>
      </c>
      <c r="B58" s="3" t="s">
        <v>198</v>
      </c>
      <c r="C58" s="202" t="s">
        <v>199</v>
      </c>
      <c r="D58" s="202" t="s">
        <v>200</v>
      </c>
      <c r="E58" s="5"/>
      <c r="F58" s="88">
        <f t="shared" si="16"/>
        <v>19</v>
      </c>
      <c r="G58" s="78"/>
      <c r="H58" s="19">
        <v>75</v>
      </c>
      <c r="I58" s="11">
        <v>78</v>
      </c>
      <c r="J58" s="3">
        <v>80</v>
      </c>
      <c r="K58" s="11">
        <v>78</v>
      </c>
      <c r="L58" s="88">
        <v>19</v>
      </c>
      <c r="M58" s="78">
        <f t="shared" ref="M58" si="18">L58</f>
        <v>19</v>
      </c>
      <c r="N58" s="259"/>
      <c r="O58" s="267"/>
      <c r="P58" s="260"/>
      <c r="Q58" s="261" t="str">
        <f t="shared" si="15"/>
        <v/>
      </c>
      <c r="R58" s="88"/>
      <c r="S58" s="78"/>
      <c r="T58" s="19"/>
      <c r="U58" s="11"/>
      <c r="V58" s="3"/>
      <c r="W58" s="305"/>
      <c r="X58" s="88"/>
      <c r="Y58" s="78"/>
      <c r="Z58" s="19"/>
      <c r="AA58" s="11"/>
      <c r="AB58" s="3"/>
      <c r="AC58" s="25"/>
      <c r="AD58" s="88"/>
      <c r="AE58" s="98"/>
    </row>
    <row r="59" spans="1:31">
      <c r="A59" s="3" t="s">
        <v>201</v>
      </c>
      <c r="B59" t="s">
        <v>202</v>
      </c>
      <c r="C59" s="202" t="s">
        <v>203</v>
      </c>
      <c r="D59" s="202" t="s">
        <v>204</v>
      </c>
      <c r="E59" s="253"/>
      <c r="F59" s="88">
        <f t="shared" si="16"/>
        <v>20</v>
      </c>
      <c r="G59" s="78"/>
      <c r="H59" s="19"/>
      <c r="I59" s="11"/>
      <c r="J59" s="3"/>
      <c r="K59" s="11"/>
      <c r="L59" s="88"/>
      <c r="M59" s="78"/>
      <c r="N59" s="259">
        <v>86.5</v>
      </c>
      <c r="O59" s="267">
        <v>88.1</v>
      </c>
      <c r="P59" s="260">
        <v>89</v>
      </c>
      <c r="Q59" s="261">
        <v>87.9</v>
      </c>
      <c r="R59" s="88">
        <v>20</v>
      </c>
      <c r="S59" s="78">
        <f t="shared" ref="S59" si="19">R59</f>
        <v>20</v>
      </c>
      <c r="T59" s="19"/>
      <c r="U59" s="11"/>
      <c r="V59" s="3"/>
      <c r="W59" s="305"/>
      <c r="X59" s="88"/>
      <c r="Y59" s="78"/>
      <c r="Z59" s="19"/>
      <c r="AA59" s="11"/>
      <c r="AB59" s="3"/>
      <c r="AC59" s="25"/>
      <c r="AD59" s="88"/>
      <c r="AE59" s="98"/>
    </row>
    <row r="60" spans="1:31">
      <c r="A60" t="s">
        <v>201</v>
      </c>
      <c r="B60" s="3" t="s">
        <v>202</v>
      </c>
      <c r="C60" s="205" t="s">
        <v>203</v>
      </c>
      <c r="D60" s="202" t="s">
        <v>205</v>
      </c>
      <c r="E60" s="72"/>
      <c r="F60" s="88">
        <f t="shared" si="16"/>
        <v>0</v>
      </c>
      <c r="G60" s="78"/>
      <c r="H60" s="19"/>
      <c r="I60" s="11"/>
      <c r="J60" s="3"/>
      <c r="K60" s="11"/>
      <c r="L60" s="88"/>
      <c r="M60" s="78"/>
      <c r="N60" s="259"/>
      <c r="O60" s="267"/>
      <c r="P60" s="260"/>
      <c r="Q60" s="261" t="str">
        <f t="shared" si="15"/>
        <v/>
      </c>
      <c r="R60" s="88"/>
      <c r="S60" s="78"/>
      <c r="T60" s="19"/>
      <c r="U60" s="11"/>
      <c r="V60" s="3"/>
      <c r="W60" s="305"/>
      <c r="X60" s="88"/>
      <c r="Y60" s="78"/>
      <c r="Z60" s="19"/>
      <c r="AA60" s="11"/>
      <c r="AB60" s="3"/>
      <c r="AC60" s="25"/>
      <c r="AD60" s="88"/>
      <c r="AE60" s="98"/>
    </row>
    <row r="61" spans="1:31">
      <c r="A61" s="3" t="s">
        <v>206</v>
      </c>
      <c r="B61" s="202" t="s">
        <v>207</v>
      </c>
      <c r="C61" s="202" t="s">
        <v>63</v>
      </c>
      <c r="D61" s="3" t="s">
        <v>208</v>
      </c>
      <c r="E61" s="72"/>
      <c r="F61" s="88">
        <f t="shared" si="16"/>
        <v>0</v>
      </c>
      <c r="G61" s="78"/>
      <c r="H61" s="19"/>
      <c r="I61" s="11"/>
      <c r="J61" s="3"/>
      <c r="K61" s="11"/>
      <c r="L61" s="88"/>
      <c r="M61" s="78"/>
      <c r="N61" s="259"/>
      <c r="O61" s="267"/>
      <c r="P61" s="260"/>
      <c r="Q61" s="261" t="str">
        <f t="shared" si="15"/>
        <v/>
      </c>
      <c r="R61" s="88"/>
      <c r="S61" s="78"/>
      <c r="T61" s="19"/>
      <c r="U61" s="11"/>
      <c r="V61" s="3"/>
      <c r="W61" s="305"/>
      <c r="X61" s="88"/>
      <c r="Y61" s="78"/>
      <c r="Z61" s="19"/>
      <c r="AA61" s="11"/>
      <c r="AB61" s="3"/>
      <c r="AC61" s="25"/>
      <c r="AD61" s="88"/>
      <c r="AE61" s="98"/>
    </row>
    <row r="62" spans="1:31">
      <c r="A62" s="3" t="s">
        <v>143</v>
      </c>
      <c r="B62" s="3" t="s">
        <v>37</v>
      </c>
      <c r="C62" s="19" t="s">
        <v>38</v>
      </c>
      <c r="D62" s="202" t="s">
        <v>209</v>
      </c>
      <c r="E62" s="205">
        <v>8</v>
      </c>
      <c r="F62" s="88">
        <f t="shared" si="16"/>
        <v>39</v>
      </c>
      <c r="G62" s="78">
        <f>SUM(M62,AE62)</f>
        <v>39</v>
      </c>
      <c r="H62" s="19">
        <v>85</v>
      </c>
      <c r="I62" s="11">
        <v>90</v>
      </c>
      <c r="J62" s="3">
        <v>87</v>
      </c>
      <c r="K62" s="11">
        <v>87</v>
      </c>
      <c r="L62" s="89">
        <v>20</v>
      </c>
      <c r="M62" s="85">
        <f t="shared" ref="M62" si="20">L62</f>
        <v>20</v>
      </c>
      <c r="N62" s="259"/>
      <c r="O62" s="267"/>
      <c r="P62" s="260"/>
      <c r="Q62" s="261" t="str">
        <f t="shared" si="15"/>
        <v/>
      </c>
      <c r="R62" s="88"/>
      <c r="S62" s="78"/>
      <c r="T62" s="271">
        <f>0.6*50+0.6*10+0.6*20+0.6*20</f>
        <v>60</v>
      </c>
      <c r="U62" s="271">
        <f>(0.7*50+0.65*20+0.75*20+0.6*20)+(100/110)</f>
        <v>75.909090909090907</v>
      </c>
      <c r="V62" s="272">
        <f>0.65*30+0.7*30+0.8*20+0.6*20</f>
        <v>68.5</v>
      </c>
      <c r="W62" s="305" cm="1">
        <f t="array" ref="W62">_xlfn.IFS(T62&gt;"A","",U62&gt;"A","",V62&gt;"A","",TRUE,AVERAGE(T62:V62))</f>
        <v>68.13636363636364</v>
      </c>
      <c r="X62" s="88"/>
      <c r="Y62" s="78" t="s">
        <v>31</v>
      </c>
      <c r="Z62" s="19">
        <v>70</v>
      </c>
      <c r="AA62" s="11">
        <v>86</v>
      </c>
      <c r="AB62" s="3">
        <v>78</v>
      </c>
      <c r="AC62" s="11">
        <v>75.5</v>
      </c>
      <c r="AD62" s="88">
        <v>19</v>
      </c>
      <c r="AE62" s="98">
        <v>19</v>
      </c>
    </row>
    <row r="63" spans="1:31">
      <c r="A63" s="3" t="s">
        <v>210</v>
      </c>
      <c r="B63" t="s">
        <v>96</v>
      </c>
      <c r="C63" s="202" t="s">
        <v>97</v>
      </c>
      <c r="D63" s="202" t="s">
        <v>211</v>
      </c>
      <c r="E63" s="7"/>
      <c r="F63" s="88">
        <f t="shared" si="16"/>
        <v>0</v>
      </c>
      <c r="G63" s="78"/>
      <c r="H63" s="19"/>
      <c r="I63" s="11"/>
      <c r="J63" s="3"/>
      <c r="K63" s="11"/>
      <c r="L63" s="88"/>
      <c r="M63" s="78"/>
      <c r="N63" s="259"/>
      <c r="O63" s="267"/>
      <c r="P63" s="260"/>
      <c r="Q63" s="261" t="str">
        <f t="shared" si="15"/>
        <v/>
      </c>
      <c r="R63" s="88"/>
      <c r="S63" s="78"/>
      <c r="T63" s="19"/>
      <c r="U63" s="11"/>
      <c r="V63" s="3"/>
      <c r="W63" s="305"/>
      <c r="X63" s="88"/>
      <c r="Y63" s="78"/>
      <c r="Z63" s="19"/>
      <c r="AA63" s="11"/>
      <c r="AB63" s="3"/>
      <c r="AC63" s="11"/>
      <c r="AD63" s="88"/>
      <c r="AE63" s="98"/>
    </row>
    <row r="64" spans="1:31" ht="16.5" thickBot="1">
      <c r="A64" s="3" t="s">
        <v>99</v>
      </c>
      <c r="B64" s="3" t="s">
        <v>41</v>
      </c>
      <c r="C64" s="202" t="s">
        <v>42</v>
      </c>
      <c r="D64" s="202" t="s">
        <v>212</v>
      </c>
      <c r="E64" s="217">
        <v>7</v>
      </c>
      <c r="F64" s="344">
        <f t="shared" ref="F64" si="21">L64+R64+X64+AD64</f>
        <v>0</v>
      </c>
      <c r="G64" s="343"/>
      <c r="H64" s="19"/>
      <c r="I64" s="11"/>
      <c r="J64" s="3"/>
      <c r="K64" s="11"/>
      <c r="L64" s="90"/>
      <c r="M64" s="86"/>
      <c r="N64" s="259"/>
      <c r="O64" s="267"/>
      <c r="P64" s="260"/>
      <c r="Q64" s="261" t="str">
        <f t="shared" si="15"/>
        <v/>
      </c>
      <c r="R64" s="344"/>
      <c r="S64" s="343"/>
      <c r="T64" s="19"/>
      <c r="U64" s="11"/>
      <c r="V64" s="3"/>
      <c r="W64" s="11"/>
      <c r="X64" s="344"/>
      <c r="Y64" s="343"/>
      <c r="Z64" s="19"/>
      <c r="AA64" s="11"/>
      <c r="AB64" s="3"/>
      <c r="AC64" s="11"/>
      <c r="AD64" s="90"/>
      <c r="AE64" s="99"/>
    </row>
    <row r="65" spans="1:31">
      <c r="C65" s="212"/>
      <c r="D65" s="212"/>
      <c r="E65" s="212"/>
      <c r="F65" s="212"/>
      <c r="G65" s="212"/>
      <c r="H65" s="212"/>
      <c r="I65" s="212"/>
      <c r="J65" s="212"/>
      <c r="K65" s="212"/>
      <c r="L65" s="212"/>
      <c r="M65" s="212"/>
      <c r="N65" s="269"/>
      <c r="O65" s="269"/>
      <c r="P65" s="269"/>
      <c r="Q65" s="350" t="str">
        <f t="shared" si="15"/>
        <v/>
      </c>
      <c r="R65" s="212"/>
      <c r="S65" s="212"/>
      <c r="T65" s="212"/>
      <c r="U65" s="212"/>
      <c r="V65" s="212"/>
      <c r="W65" s="212"/>
      <c r="X65" s="212"/>
      <c r="Y65" s="212"/>
      <c r="Z65" s="212"/>
      <c r="AA65" s="212"/>
      <c r="AB65" s="212"/>
      <c r="AC65" s="212"/>
      <c r="AD65" s="212"/>
      <c r="AE65" s="212"/>
    </row>
    <row r="66" spans="1:31">
      <c r="C66" s="212"/>
      <c r="D66" s="212"/>
      <c r="E66" s="212"/>
      <c r="F66" s="212"/>
      <c r="G66" s="212"/>
      <c r="H66" s="212"/>
      <c r="I66" s="212"/>
      <c r="J66" s="212"/>
      <c r="K66" s="212"/>
      <c r="L66" s="212"/>
      <c r="M66" s="212"/>
      <c r="N66" s="269"/>
      <c r="O66" s="269"/>
      <c r="P66" s="269"/>
      <c r="Q66" s="269"/>
      <c r="R66" s="212"/>
      <c r="S66" s="212"/>
      <c r="T66" s="212"/>
      <c r="U66" s="212"/>
      <c r="V66" s="212"/>
      <c r="W66" s="212"/>
      <c r="X66" s="212"/>
      <c r="Y66" s="212"/>
      <c r="Z66" s="212"/>
      <c r="AA66" s="212"/>
      <c r="AB66" s="212"/>
      <c r="AC66" s="212"/>
      <c r="AD66" s="212"/>
      <c r="AE66" s="212"/>
    </row>
    <row r="67" spans="1:31" ht="16.5" thickBot="1">
      <c r="C67" s="212"/>
      <c r="D67" s="212"/>
      <c r="E67" s="212"/>
      <c r="F67" s="212"/>
      <c r="G67" s="212"/>
      <c r="H67" s="212"/>
      <c r="I67" s="212"/>
      <c r="J67" s="212"/>
      <c r="K67" s="212"/>
      <c r="L67" s="212"/>
      <c r="M67" s="212"/>
      <c r="N67" s="269"/>
      <c r="O67" s="269"/>
      <c r="P67" s="269"/>
      <c r="Q67" s="269"/>
      <c r="R67" s="212"/>
      <c r="S67" s="212"/>
      <c r="T67" s="212"/>
      <c r="U67" s="212"/>
      <c r="V67" s="212"/>
      <c r="W67" s="212"/>
      <c r="X67" s="212"/>
      <c r="Y67" s="212"/>
      <c r="Z67" s="212"/>
      <c r="AA67" s="212"/>
      <c r="AB67" s="212"/>
      <c r="AC67" s="212"/>
      <c r="AD67" s="212"/>
      <c r="AE67" s="212"/>
    </row>
    <row r="68" spans="1:31" ht="24" thickBot="1">
      <c r="A68" s="7"/>
      <c r="B68" s="7"/>
      <c r="H68" s="418" t="s">
        <v>184</v>
      </c>
      <c r="I68" s="403"/>
      <c r="J68" s="403"/>
      <c r="K68" s="403"/>
      <c r="L68" s="403"/>
      <c r="M68" s="404"/>
      <c r="N68" s="399" t="s">
        <v>156</v>
      </c>
      <c r="O68" s="400"/>
      <c r="P68" s="400"/>
      <c r="Q68" s="400"/>
      <c r="R68" s="400"/>
      <c r="S68" s="401"/>
      <c r="T68" s="390" t="s">
        <v>4</v>
      </c>
      <c r="U68" s="420"/>
      <c r="V68" s="420"/>
      <c r="W68" s="420"/>
      <c r="X68" s="420"/>
      <c r="Y68" s="421"/>
      <c r="Z68" s="427" t="s">
        <v>157</v>
      </c>
      <c r="AA68" s="428"/>
      <c r="AB68" s="428"/>
      <c r="AC68" s="428"/>
      <c r="AD68" s="428"/>
      <c r="AE68" s="429"/>
    </row>
    <row r="69" spans="1:31" ht="47.25">
      <c r="A69" s="422" t="s">
        <v>213</v>
      </c>
      <c r="B69" s="423"/>
      <c r="C69" s="423"/>
      <c r="D69" s="423"/>
      <c r="E69" s="423"/>
      <c r="F69" s="117" t="s">
        <v>9</v>
      </c>
      <c r="G69" s="51" t="s">
        <v>10</v>
      </c>
      <c r="H69" s="59" t="s">
        <v>159</v>
      </c>
      <c r="I69" s="56" t="s">
        <v>160</v>
      </c>
      <c r="J69" s="248" t="s">
        <v>161</v>
      </c>
      <c r="K69" s="246" t="s">
        <v>162</v>
      </c>
      <c r="L69" s="97" t="s">
        <v>15</v>
      </c>
      <c r="M69" s="51" t="s">
        <v>16</v>
      </c>
      <c r="N69" s="255" t="s">
        <v>159</v>
      </c>
      <c r="O69" s="265" t="s">
        <v>160</v>
      </c>
      <c r="P69" s="268" t="s">
        <v>161</v>
      </c>
      <c r="Q69" s="258" t="s">
        <v>162</v>
      </c>
      <c r="R69" s="87" t="s">
        <v>15</v>
      </c>
      <c r="S69" s="57" t="s">
        <v>16</v>
      </c>
      <c r="T69" s="59" t="s">
        <v>159</v>
      </c>
      <c r="U69" s="56" t="s">
        <v>160</v>
      </c>
      <c r="V69" s="188" t="s">
        <v>161</v>
      </c>
      <c r="W69" s="246" t="s">
        <v>162</v>
      </c>
      <c r="X69" s="87" t="s">
        <v>15</v>
      </c>
      <c r="Y69" s="57" t="s">
        <v>16</v>
      </c>
      <c r="Z69" s="59" t="s">
        <v>159</v>
      </c>
      <c r="AA69" s="56" t="s">
        <v>160</v>
      </c>
      <c r="AB69" s="188" t="s">
        <v>161</v>
      </c>
      <c r="AC69" s="246" t="s">
        <v>162</v>
      </c>
      <c r="AD69" s="87" t="s">
        <v>15</v>
      </c>
      <c r="AE69" s="57" t="s">
        <v>16</v>
      </c>
    </row>
    <row r="70" spans="1:31" s="43" customFormat="1">
      <c r="A70" s="1" t="s">
        <v>22</v>
      </c>
      <c r="B70" s="1" t="s">
        <v>23</v>
      </c>
      <c r="C70" s="4" t="s">
        <v>24</v>
      </c>
      <c r="D70" s="1" t="s">
        <v>25</v>
      </c>
      <c r="E70" s="4" t="s">
        <v>26</v>
      </c>
      <c r="F70" s="149"/>
      <c r="G70" s="105"/>
      <c r="H70" s="19"/>
      <c r="I70" s="11"/>
      <c r="J70" s="3"/>
      <c r="K70" s="16"/>
      <c r="L70" s="88"/>
      <c r="M70" s="78"/>
      <c r="N70" s="259"/>
      <c r="O70" s="267"/>
      <c r="P70" s="260"/>
      <c r="Q70" s="261"/>
      <c r="R70" s="88"/>
      <c r="S70" s="78"/>
      <c r="T70" s="19"/>
      <c r="U70" s="11"/>
      <c r="V70" s="3"/>
      <c r="W70" s="305"/>
      <c r="X70" s="88"/>
      <c r="Y70" s="78"/>
      <c r="Z70" s="19"/>
      <c r="AA70" s="11"/>
      <c r="AB70" s="3"/>
      <c r="AC70" s="25"/>
      <c r="AD70" s="88"/>
      <c r="AE70" s="78"/>
    </row>
    <row r="71" spans="1:31">
      <c r="A71" s="3" t="s">
        <v>214</v>
      </c>
      <c r="B71" s="3" t="s">
        <v>215</v>
      </c>
      <c r="C71" s="205" t="s">
        <v>63</v>
      </c>
      <c r="D71" s="202" t="s">
        <v>216</v>
      </c>
      <c r="E71" s="205">
        <v>7</v>
      </c>
      <c r="F71" s="195">
        <f t="shared" ref="F71:F79" si="22">L71+R71+X71+AD71</f>
        <v>0</v>
      </c>
      <c r="G71" s="196"/>
      <c r="H71" s="19"/>
      <c r="I71" s="11"/>
      <c r="J71" s="3"/>
      <c r="K71" s="16"/>
      <c r="L71" s="88"/>
      <c r="M71" s="78"/>
      <c r="N71" s="259"/>
      <c r="O71" s="267"/>
      <c r="P71" s="260"/>
      <c r="Q71" s="261" t="str">
        <f>IFERROR(AVERAGE(N71:P71),"")</f>
        <v/>
      </c>
      <c r="R71" s="88"/>
      <c r="S71" s="78"/>
      <c r="T71" s="19"/>
      <c r="U71" s="11"/>
      <c r="V71" s="3"/>
      <c r="W71" s="305"/>
      <c r="X71" s="88"/>
      <c r="Y71" s="78"/>
      <c r="Z71" s="19"/>
      <c r="AA71" s="11"/>
      <c r="AB71" s="3"/>
      <c r="AC71" s="25"/>
      <c r="AD71" s="88"/>
      <c r="AE71" s="78"/>
    </row>
    <row r="72" spans="1:31">
      <c r="A72" s="3" t="s">
        <v>99</v>
      </c>
      <c r="B72" s="3" t="s">
        <v>217</v>
      </c>
      <c r="C72" s="202" t="s">
        <v>218</v>
      </c>
      <c r="D72" s="3" t="s">
        <v>219</v>
      </c>
      <c r="E72" s="5"/>
      <c r="F72" s="195">
        <f t="shared" si="22"/>
        <v>62</v>
      </c>
      <c r="G72" s="78">
        <f>SUM(S72,Y72)</f>
        <v>38</v>
      </c>
      <c r="H72" s="19">
        <v>96</v>
      </c>
      <c r="I72" s="11">
        <v>76</v>
      </c>
      <c r="J72" s="3">
        <v>89</v>
      </c>
      <c r="K72" s="16">
        <v>84</v>
      </c>
      <c r="L72" s="88">
        <v>19</v>
      </c>
      <c r="M72" s="78">
        <f>L72</f>
        <v>19</v>
      </c>
      <c r="N72" s="259">
        <v>97</v>
      </c>
      <c r="O72" s="267">
        <v>95</v>
      </c>
      <c r="P72" s="260">
        <v>77</v>
      </c>
      <c r="Q72" s="261">
        <v>89.6</v>
      </c>
      <c r="R72" s="88">
        <v>19</v>
      </c>
      <c r="S72" s="78">
        <f>R72</f>
        <v>19</v>
      </c>
      <c r="T72" s="271">
        <f>0.7*50+0.7*10+0.7*20+0.85*20</f>
        <v>73</v>
      </c>
      <c r="U72" s="271">
        <f>0.7*50+0.7*20+0.65*20+0.8*20</f>
        <v>78</v>
      </c>
      <c r="V72" s="272">
        <f>0.7*30+0.75*30+0.65*20+0.8*20</f>
        <v>72.5</v>
      </c>
      <c r="W72" s="305" cm="1">
        <f t="array" ref="W72">_xlfn.IFS(T72&gt;"A","",U72&gt;"A","",V72&gt;"A","",TRUE,AVERAGE(T72:V72))</f>
        <v>74.5</v>
      </c>
      <c r="X72" s="88">
        <v>24</v>
      </c>
      <c r="Y72" s="78">
        <v>19</v>
      </c>
      <c r="Z72" s="19"/>
      <c r="AA72" s="11"/>
      <c r="AB72" s="3"/>
      <c r="AC72" s="25"/>
      <c r="AD72" s="88"/>
      <c r="AE72" s="78"/>
    </row>
    <row r="73" spans="1:31">
      <c r="A73" s="3" t="s">
        <v>99</v>
      </c>
      <c r="B73" s="3" t="s">
        <v>217</v>
      </c>
      <c r="C73" s="202" t="s">
        <v>218</v>
      </c>
      <c r="D73" s="3" t="s">
        <v>220</v>
      </c>
      <c r="E73" s="5"/>
      <c r="F73" s="195">
        <f t="shared" si="22"/>
        <v>65</v>
      </c>
      <c r="G73" s="78">
        <f>SUM(S73,Y73)</f>
        <v>40</v>
      </c>
      <c r="H73" s="19">
        <v>99</v>
      </c>
      <c r="I73" s="11">
        <v>100</v>
      </c>
      <c r="J73" s="3">
        <v>95</v>
      </c>
      <c r="K73" s="16">
        <v>98</v>
      </c>
      <c r="L73" s="88">
        <v>20</v>
      </c>
      <c r="M73" s="78">
        <f>L73</f>
        <v>20</v>
      </c>
      <c r="N73" s="259">
        <v>96</v>
      </c>
      <c r="O73" s="267">
        <v>97.27</v>
      </c>
      <c r="P73" s="260">
        <v>88</v>
      </c>
      <c r="Q73" s="261">
        <v>93.87</v>
      </c>
      <c r="R73" s="88">
        <v>20</v>
      </c>
      <c r="S73" s="78">
        <f>R73</f>
        <v>20</v>
      </c>
      <c r="T73" s="271">
        <f>0.85*50+0.85*10+0.9*20+0.9*20</f>
        <v>87</v>
      </c>
      <c r="U73" s="271">
        <f>0.9*50+0.85*20+0.9*20+0.9*20</f>
        <v>98</v>
      </c>
      <c r="V73" s="272">
        <f>0.85*30+0.85*30+0.75*20+0.85*20</f>
        <v>83</v>
      </c>
      <c r="W73" s="305" cm="1">
        <f t="array" ref="W73">_xlfn.IFS(T73&gt;"A","",U73&gt;"A","",V73&gt;"A","",TRUE,AVERAGE(T73:V73))</f>
        <v>89.333333333333329</v>
      </c>
      <c r="X73" s="88">
        <v>25</v>
      </c>
      <c r="Y73" s="78">
        <v>20</v>
      </c>
      <c r="Z73" s="19"/>
      <c r="AA73" s="11"/>
      <c r="AB73" s="3"/>
      <c r="AC73" s="25"/>
      <c r="AD73" s="88"/>
      <c r="AE73" s="78"/>
    </row>
    <row r="74" spans="1:31">
      <c r="A74" s="3" t="s">
        <v>206</v>
      </c>
      <c r="B74" s="202" t="s">
        <v>207</v>
      </c>
      <c r="C74" s="202" t="s">
        <v>63</v>
      </c>
      <c r="D74" s="3" t="s">
        <v>208</v>
      </c>
      <c r="E74" s="5"/>
      <c r="F74" s="195">
        <f t="shared" si="22"/>
        <v>0</v>
      </c>
      <c r="G74" s="196"/>
      <c r="H74" s="19"/>
      <c r="I74" s="11"/>
      <c r="J74" s="3"/>
      <c r="K74" s="16"/>
      <c r="L74" s="88"/>
      <c r="M74" s="78"/>
      <c r="N74" s="259"/>
      <c r="O74" s="267"/>
      <c r="P74" s="260"/>
      <c r="Q74" s="261" t="str">
        <f>IFERROR(AVERAGE(N74:P74),"")</f>
        <v/>
      </c>
      <c r="R74" s="88"/>
      <c r="S74" s="78"/>
      <c r="T74" s="271">
        <f>0.55*50+0.55*10+0.5*20+0.55*20</f>
        <v>54</v>
      </c>
      <c r="U74" s="271">
        <f>0.6*50+0.6*20+0.4*20+0.55*20</f>
        <v>61</v>
      </c>
      <c r="V74" s="272">
        <f>0.75*30+0.75*30+0.7*20+0.7*20</f>
        <v>73</v>
      </c>
      <c r="W74" s="305" cm="1">
        <f t="array" ref="W74">_xlfn.IFS(T74&gt;"A","",U74&gt;"A","",V74&gt;"A","",TRUE,AVERAGE(T74:V74))</f>
        <v>62.666666666666664</v>
      </c>
      <c r="X74" s="88"/>
      <c r="Y74" s="78" t="s">
        <v>31</v>
      </c>
      <c r="Z74" s="19"/>
      <c r="AA74" s="11"/>
      <c r="AB74" s="3"/>
      <c r="AC74" s="25"/>
      <c r="AD74" s="88"/>
      <c r="AE74" s="78"/>
    </row>
    <row r="75" spans="1:31">
      <c r="A75" s="2"/>
      <c r="B75" s="2"/>
      <c r="C75" s="5"/>
      <c r="D75" s="2"/>
      <c r="E75" s="5"/>
      <c r="F75" s="195">
        <f t="shared" si="22"/>
        <v>0</v>
      </c>
      <c r="G75" s="196"/>
      <c r="H75" s="19"/>
      <c r="I75" s="11"/>
      <c r="J75" s="3"/>
      <c r="K75" s="16"/>
      <c r="L75" s="88"/>
      <c r="M75" s="78"/>
      <c r="N75" s="259"/>
      <c r="O75" s="267"/>
      <c r="P75" s="260"/>
      <c r="Q75" s="261"/>
      <c r="R75" s="88"/>
      <c r="S75" s="78"/>
      <c r="T75" s="19"/>
      <c r="U75" s="11"/>
      <c r="V75" s="3"/>
      <c r="W75" s="305"/>
      <c r="X75" s="88"/>
      <c r="Y75" s="78"/>
      <c r="Z75" s="19"/>
      <c r="AA75" s="11"/>
      <c r="AB75" s="3"/>
      <c r="AC75" s="25"/>
      <c r="AD75" s="88"/>
      <c r="AE75" s="78"/>
    </row>
    <row r="76" spans="1:31">
      <c r="A76" s="2"/>
      <c r="B76" s="2"/>
      <c r="C76" s="5"/>
      <c r="D76" s="2"/>
      <c r="E76" s="5"/>
      <c r="F76" s="195">
        <f t="shared" si="22"/>
        <v>0</v>
      </c>
      <c r="G76" s="196"/>
      <c r="H76" s="19"/>
      <c r="I76" s="11"/>
      <c r="J76" s="3"/>
      <c r="K76" s="16"/>
      <c r="L76" s="88"/>
      <c r="M76" s="78"/>
      <c r="N76" s="259"/>
      <c r="O76" s="267"/>
      <c r="P76" s="260"/>
      <c r="Q76" s="261"/>
      <c r="R76" s="88"/>
      <c r="S76" s="78"/>
      <c r="T76" s="19"/>
      <c r="U76" s="11"/>
      <c r="V76" s="3"/>
      <c r="W76" s="305"/>
      <c r="X76" s="88"/>
      <c r="Y76" s="78"/>
      <c r="Z76" s="19"/>
      <c r="AA76" s="11"/>
      <c r="AB76" s="3"/>
      <c r="AC76" s="25"/>
      <c r="AD76" s="88"/>
      <c r="AE76" s="78"/>
    </row>
    <row r="77" spans="1:31">
      <c r="A77" s="2"/>
      <c r="B77" s="2"/>
      <c r="C77" s="5"/>
      <c r="D77" s="2"/>
      <c r="E77" s="5"/>
      <c r="F77" s="195">
        <f t="shared" si="22"/>
        <v>0</v>
      </c>
      <c r="G77" s="196"/>
      <c r="H77" s="19"/>
      <c r="I77" s="11"/>
      <c r="J77" s="3"/>
      <c r="K77" s="16"/>
      <c r="L77" s="88"/>
      <c r="M77" s="78"/>
      <c r="N77" s="259"/>
      <c r="O77" s="267"/>
      <c r="P77" s="260"/>
      <c r="Q77" s="261"/>
      <c r="R77" s="88"/>
      <c r="S77" s="78"/>
      <c r="T77" s="19"/>
      <c r="U77" s="11"/>
      <c r="V77" s="3"/>
      <c r="W77" s="25"/>
      <c r="X77" s="88"/>
      <c r="Y77" s="78"/>
      <c r="Z77" s="19"/>
      <c r="AA77" s="11"/>
      <c r="AB77" s="3"/>
      <c r="AC77" s="25"/>
      <c r="AD77" s="88"/>
      <c r="AE77" s="78"/>
    </row>
    <row r="78" spans="1:31">
      <c r="A78" s="2"/>
      <c r="B78" s="2"/>
      <c r="C78" s="5"/>
      <c r="D78" s="2"/>
      <c r="E78" s="5"/>
      <c r="F78" s="195">
        <f t="shared" si="22"/>
        <v>0</v>
      </c>
      <c r="G78" s="196"/>
      <c r="H78" s="19"/>
      <c r="I78" s="11"/>
      <c r="J78" s="3"/>
      <c r="K78" s="16"/>
      <c r="L78" s="88"/>
      <c r="M78" s="78"/>
      <c r="N78" s="259"/>
      <c r="O78" s="267"/>
      <c r="P78" s="260"/>
      <c r="Q78" s="261"/>
      <c r="R78" s="88"/>
      <c r="S78" s="78"/>
      <c r="T78" s="19"/>
      <c r="U78" s="11"/>
      <c r="V78" s="3"/>
      <c r="W78" s="25"/>
      <c r="X78" s="88"/>
      <c r="Y78" s="78"/>
      <c r="Z78" s="19"/>
      <c r="AA78" s="11"/>
      <c r="AB78" s="3"/>
      <c r="AC78" s="25"/>
      <c r="AD78" s="88"/>
      <c r="AE78" s="78"/>
    </row>
    <row r="79" spans="1:31" ht="16.5" thickBot="1">
      <c r="A79" s="2"/>
      <c r="B79" s="2"/>
      <c r="C79" s="5"/>
      <c r="D79" s="2"/>
      <c r="E79" s="5"/>
      <c r="F79" s="209">
        <f t="shared" si="22"/>
        <v>0</v>
      </c>
      <c r="G79" s="197"/>
      <c r="H79" s="19"/>
      <c r="I79" s="11"/>
      <c r="J79" s="3"/>
      <c r="K79" s="16"/>
      <c r="L79" s="159"/>
      <c r="M79" s="161"/>
      <c r="N79" s="259"/>
      <c r="O79" s="267"/>
      <c r="P79" s="260"/>
      <c r="Q79" s="266"/>
      <c r="R79" s="159"/>
      <c r="S79" s="161"/>
      <c r="T79" s="19"/>
      <c r="U79" s="11"/>
      <c r="V79" s="3"/>
      <c r="W79" s="16"/>
      <c r="X79" s="159"/>
      <c r="Y79" s="161"/>
      <c r="Z79" s="19"/>
      <c r="AA79" s="11"/>
      <c r="AB79" s="3"/>
      <c r="AC79" s="16"/>
      <c r="AD79" s="159"/>
      <c r="AE79" s="161"/>
    </row>
    <row r="81" spans="1:31" ht="16.5" thickBot="1">
      <c r="A81" s="7"/>
      <c r="B81" s="7"/>
      <c r="C81" s="7"/>
      <c r="D81" s="73"/>
      <c r="E81" s="73"/>
    </row>
    <row r="82" spans="1:31" ht="24" thickBot="1">
      <c r="H82" s="418" t="s">
        <v>184</v>
      </c>
      <c r="I82" s="403"/>
      <c r="J82" s="403"/>
      <c r="K82" s="403"/>
      <c r="L82" s="403"/>
      <c r="M82" s="404"/>
      <c r="N82" s="399" t="s">
        <v>156</v>
      </c>
      <c r="O82" s="400"/>
      <c r="P82" s="400"/>
      <c r="Q82" s="400"/>
      <c r="R82" s="400"/>
      <c r="S82" s="401"/>
      <c r="T82" s="390" t="s">
        <v>4</v>
      </c>
      <c r="U82" s="420"/>
      <c r="V82" s="420"/>
      <c r="W82" s="420"/>
      <c r="X82" s="420"/>
      <c r="Y82" s="421"/>
      <c r="Z82" s="427" t="s">
        <v>157</v>
      </c>
      <c r="AA82" s="428"/>
      <c r="AB82" s="428"/>
      <c r="AC82" s="428"/>
      <c r="AD82" s="428"/>
      <c r="AE82" s="429"/>
    </row>
    <row r="83" spans="1:31" ht="47.25">
      <c r="A83" s="416" t="s">
        <v>221</v>
      </c>
      <c r="B83" s="409"/>
      <c r="C83" s="409"/>
      <c r="D83" s="409"/>
      <c r="E83" s="409"/>
      <c r="F83" s="117" t="s">
        <v>9</v>
      </c>
      <c r="G83" s="51" t="s">
        <v>10</v>
      </c>
      <c r="H83" s="59" t="s">
        <v>159</v>
      </c>
      <c r="I83" s="56" t="s">
        <v>160</v>
      </c>
      <c r="J83" s="248" t="s">
        <v>161</v>
      </c>
      <c r="K83" s="246" t="s">
        <v>162</v>
      </c>
      <c r="L83" s="97" t="s">
        <v>15</v>
      </c>
      <c r="M83" s="51" t="s">
        <v>16</v>
      </c>
      <c r="N83" s="255" t="s">
        <v>159</v>
      </c>
      <c r="O83" s="265" t="s">
        <v>160</v>
      </c>
      <c r="P83" s="268" t="s">
        <v>161</v>
      </c>
      <c r="Q83" s="258" t="s">
        <v>162</v>
      </c>
      <c r="R83" s="87" t="s">
        <v>15</v>
      </c>
      <c r="S83" s="57" t="s">
        <v>16</v>
      </c>
      <c r="T83" s="59" t="s">
        <v>159</v>
      </c>
      <c r="U83" s="56" t="s">
        <v>160</v>
      </c>
      <c r="V83" s="188" t="s">
        <v>161</v>
      </c>
      <c r="W83" s="246" t="s">
        <v>162</v>
      </c>
      <c r="X83" s="87" t="s">
        <v>15</v>
      </c>
      <c r="Y83" s="57" t="s">
        <v>16</v>
      </c>
      <c r="Z83" s="59" t="s">
        <v>159</v>
      </c>
      <c r="AA83" s="56" t="s">
        <v>160</v>
      </c>
      <c r="AB83" s="188" t="s">
        <v>161</v>
      </c>
      <c r="AC83" s="246" t="s">
        <v>162</v>
      </c>
      <c r="AD83" s="87" t="s">
        <v>15</v>
      </c>
      <c r="AE83" s="57" t="s">
        <v>16</v>
      </c>
    </row>
    <row r="84" spans="1:31" s="45" customFormat="1">
      <c r="A84" s="208" t="s">
        <v>22</v>
      </c>
      <c r="B84" s="1" t="s">
        <v>23</v>
      </c>
      <c r="C84" s="1" t="s">
        <v>24</v>
      </c>
      <c r="D84" s="1" t="s">
        <v>25</v>
      </c>
      <c r="E84" s="4" t="s">
        <v>26</v>
      </c>
      <c r="F84" s="88"/>
      <c r="G84" s="78"/>
      <c r="H84" s="19"/>
      <c r="I84" s="11"/>
      <c r="J84" s="3"/>
      <c r="K84" s="16"/>
      <c r="L84" s="88"/>
      <c r="M84" s="78"/>
      <c r="N84" s="259"/>
      <c r="O84" s="267"/>
      <c r="P84" s="260"/>
      <c r="Q84" s="261"/>
      <c r="R84" s="88"/>
      <c r="S84" s="78"/>
      <c r="T84" s="19"/>
      <c r="U84" s="11"/>
      <c r="V84" s="3"/>
      <c r="W84" s="305"/>
      <c r="X84" s="88"/>
      <c r="Y84" s="78"/>
      <c r="Z84" s="19"/>
      <c r="AA84" s="11"/>
      <c r="AB84" s="3"/>
      <c r="AC84" s="25"/>
      <c r="AD84" s="88"/>
      <c r="AE84" s="78"/>
    </row>
    <row r="85" spans="1:31">
      <c r="A85" s="207" t="s">
        <v>61</v>
      </c>
      <c r="B85" t="s">
        <v>62</v>
      </c>
      <c r="C85" s="205" t="s">
        <v>63</v>
      </c>
      <c r="D85" s="202" t="s">
        <v>64</v>
      </c>
      <c r="E85" s="217">
        <v>7</v>
      </c>
      <c r="F85" s="88">
        <f t="shared" ref="F85:F93" si="23">L85+R85+X85+AD85</f>
        <v>45</v>
      </c>
      <c r="G85" s="78">
        <f>SUM(S85,Y85)</f>
        <v>40</v>
      </c>
      <c r="H85" s="19"/>
      <c r="I85" s="11"/>
      <c r="J85" s="3"/>
      <c r="K85" s="16"/>
      <c r="L85" s="88"/>
      <c r="M85" s="78"/>
      <c r="N85" s="259">
        <v>95</v>
      </c>
      <c r="O85" s="267">
        <v>87</v>
      </c>
      <c r="P85" s="260">
        <v>97</v>
      </c>
      <c r="Q85" s="261">
        <v>87.6</v>
      </c>
      <c r="R85" s="88">
        <v>20</v>
      </c>
      <c r="S85" s="78">
        <v>20</v>
      </c>
      <c r="T85" s="271">
        <f>(7+6.5+6.5+7+6.5+6.5+6.5+7.5+7.5*2+8.5*2+7.5*2)*100/140</f>
        <v>72.142857142857139</v>
      </c>
      <c r="U85" s="271">
        <f>0.85*50+0.8*10+0.9*20+0.75*20</f>
        <v>83.5</v>
      </c>
      <c r="V85" s="271">
        <f>0.85*30+0.75*30+0.7*20+0.75*20</f>
        <v>77</v>
      </c>
      <c r="W85" s="305" cm="1">
        <f t="array" ref="W85">_xlfn.IFS(T85&gt;"A","",U85&gt;"A","",V85&gt;"A","",TRUE,AVERAGE(T85:V85))</f>
        <v>77.547619047619051</v>
      </c>
      <c r="X85" s="88">
        <v>25</v>
      </c>
      <c r="Y85" s="78">
        <v>20</v>
      </c>
      <c r="Z85" s="19"/>
      <c r="AA85" s="11"/>
      <c r="AB85" s="3"/>
      <c r="AC85" s="25"/>
      <c r="AD85" s="88"/>
      <c r="AE85" s="78"/>
    </row>
    <row r="86" spans="1:31">
      <c r="A86" s="3" t="s">
        <v>99</v>
      </c>
      <c r="B86" s="3" t="s">
        <v>41</v>
      </c>
      <c r="C86" s="202" t="s">
        <v>42</v>
      </c>
      <c r="D86" s="202" t="s">
        <v>100</v>
      </c>
      <c r="E86" s="218">
        <v>7</v>
      </c>
      <c r="F86" s="88">
        <f t="shared" si="23"/>
        <v>0</v>
      </c>
      <c r="G86" s="78"/>
      <c r="H86" s="19"/>
      <c r="I86" s="11"/>
      <c r="J86" s="3"/>
      <c r="K86" s="16"/>
      <c r="L86" s="88"/>
      <c r="M86" s="78"/>
      <c r="N86" s="259"/>
      <c r="O86" s="267"/>
      <c r="P86" s="260"/>
      <c r="Q86" s="261" t="str">
        <f t="shared" ref="Q86:Q89" si="24">IFERROR(AVERAGE(N86:P86),"")</f>
        <v/>
      </c>
      <c r="R86" s="88"/>
      <c r="S86" s="78"/>
      <c r="T86" s="19"/>
      <c r="U86" s="11"/>
      <c r="V86" s="3"/>
      <c r="W86" s="305"/>
      <c r="X86" s="88"/>
      <c r="Y86" s="78"/>
      <c r="Z86" s="19"/>
      <c r="AA86" s="11"/>
      <c r="AB86" s="3"/>
      <c r="AC86" s="25"/>
      <c r="AD86" s="88"/>
      <c r="AE86" s="78"/>
    </row>
    <row r="87" spans="1:31">
      <c r="A87" s="3" t="s">
        <v>36</v>
      </c>
      <c r="B87" s="3" t="s">
        <v>71</v>
      </c>
      <c r="C87" t="s">
        <v>72</v>
      </c>
      <c r="D87" s="202" t="s">
        <v>73</v>
      </c>
      <c r="E87" s="205">
        <v>11</v>
      </c>
      <c r="F87" s="88">
        <f t="shared" si="23"/>
        <v>19</v>
      </c>
      <c r="G87" s="78"/>
      <c r="H87" s="19"/>
      <c r="I87" s="11"/>
      <c r="J87" s="3"/>
      <c r="K87" s="16"/>
      <c r="L87" s="88"/>
      <c r="M87" s="78"/>
      <c r="N87" s="259">
        <v>87.9</v>
      </c>
      <c r="O87" s="267">
        <v>86</v>
      </c>
      <c r="P87" s="260">
        <v>97</v>
      </c>
      <c r="Q87" s="261">
        <v>84.8</v>
      </c>
      <c r="R87" s="88">
        <v>19</v>
      </c>
      <c r="S87" s="78">
        <v>19</v>
      </c>
      <c r="T87" s="271">
        <f>(6.5+7.5+7+7.5+6.5+7.5+6+6.5+8*2+7.5*2+8*2)*100/140</f>
        <v>72.857142857142861</v>
      </c>
      <c r="U87" s="271">
        <f>0.7*50+0.7*10+0.65*20+0.7*20</f>
        <v>69</v>
      </c>
      <c r="V87" s="271">
        <f>0.75*30+0.8*30+0.75*20+0.8*20</f>
        <v>77.5</v>
      </c>
      <c r="W87" s="305" cm="1">
        <f t="array" ref="W87">_xlfn.IFS(T87&gt;"A","",U87&gt;"A","",V87&gt;"A","",TRUE,AVERAGE(T87:V87))</f>
        <v>73.11904761904762</v>
      </c>
      <c r="X87" s="88"/>
      <c r="Y87" s="78" t="s">
        <v>31</v>
      </c>
      <c r="Z87" s="19"/>
      <c r="AA87" s="11"/>
      <c r="AB87" s="3"/>
      <c r="AC87" s="25"/>
      <c r="AD87" s="88"/>
      <c r="AE87" s="78"/>
    </row>
    <row r="88" spans="1:31">
      <c r="A88" t="s">
        <v>84</v>
      </c>
      <c r="B88" s="3" t="s">
        <v>49</v>
      </c>
      <c r="C88" s="3" t="s">
        <v>50</v>
      </c>
      <c r="D88" t="s">
        <v>85</v>
      </c>
      <c r="E88" s="205">
        <v>8</v>
      </c>
      <c r="F88" s="88">
        <f t="shared" si="23"/>
        <v>0</v>
      </c>
      <c r="G88" s="78"/>
      <c r="H88" s="19"/>
      <c r="I88" s="11"/>
      <c r="J88" s="3"/>
      <c r="K88" s="16"/>
      <c r="L88" s="88"/>
      <c r="M88" s="78"/>
      <c r="N88" s="259"/>
      <c r="O88" s="267"/>
      <c r="P88" s="260"/>
      <c r="Q88" s="261" t="str">
        <f t="shared" si="24"/>
        <v/>
      </c>
      <c r="R88" s="88"/>
      <c r="S88" s="78"/>
      <c r="T88" s="19"/>
      <c r="U88" s="11"/>
      <c r="V88" s="3"/>
      <c r="W88" s="305"/>
      <c r="X88" s="88"/>
      <c r="Y88" s="78"/>
      <c r="Z88" s="19"/>
      <c r="AA88" s="11"/>
      <c r="AB88" s="3"/>
      <c r="AC88" s="25"/>
      <c r="AD88" s="88"/>
      <c r="AE88" s="78"/>
    </row>
    <row r="89" spans="1:31">
      <c r="A89" s="3" t="s">
        <v>143</v>
      </c>
      <c r="B89" s="3" t="s">
        <v>37</v>
      </c>
      <c r="C89" s="3" t="s">
        <v>38</v>
      </c>
      <c r="D89" s="202" t="s">
        <v>222</v>
      </c>
      <c r="E89" s="5"/>
      <c r="F89" s="88">
        <f t="shared" si="23"/>
        <v>20</v>
      </c>
      <c r="G89" s="78"/>
      <c r="H89" s="19">
        <v>98</v>
      </c>
      <c r="I89" s="11">
        <v>90</v>
      </c>
      <c r="J89" s="3">
        <v>81</v>
      </c>
      <c r="K89" s="16">
        <v>91</v>
      </c>
      <c r="L89" s="88">
        <v>20</v>
      </c>
      <c r="M89" s="78">
        <f>L89</f>
        <v>20</v>
      </c>
      <c r="N89" s="259"/>
      <c r="O89" s="267"/>
      <c r="P89" s="260"/>
      <c r="Q89" s="261" t="str">
        <f t="shared" si="24"/>
        <v/>
      </c>
      <c r="R89" s="88"/>
      <c r="S89" s="78"/>
      <c r="T89" s="19"/>
      <c r="U89" s="11"/>
      <c r="V89" s="3"/>
      <c r="W89" s="305"/>
      <c r="X89" s="88"/>
      <c r="Y89" s="78"/>
      <c r="Z89" s="19"/>
      <c r="AA89" s="11"/>
      <c r="AB89" s="3"/>
      <c r="AC89" s="25"/>
      <c r="AD89" s="88"/>
      <c r="AE89" s="78"/>
    </row>
    <row r="90" spans="1:31">
      <c r="A90" t="s">
        <v>223</v>
      </c>
      <c r="B90" s="3" t="s">
        <v>224</v>
      </c>
      <c r="C90" s="3" t="s">
        <v>225</v>
      </c>
      <c r="D90" s="202" t="s">
        <v>226</v>
      </c>
      <c r="E90" s="216">
        <v>8</v>
      </c>
      <c r="F90" s="88">
        <f t="shared" si="23"/>
        <v>36</v>
      </c>
      <c r="G90" s="78">
        <f>SUM(S90,M90)</f>
        <v>36</v>
      </c>
      <c r="H90" s="19">
        <v>87</v>
      </c>
      <c r="I90" s="11">
        <v>80</v>
      </c>
      <c r="J90" s="3">
        <v>80</v>
      </c>
      <c r="K90" s="16">
        <v>83</v>
      </c>
      <c r="L90" s="88">
        <v>19</v>
      </c>
      <c r="M90" s="78">
        <f>L90</f>
        <v>19</v>
      </c>
      <c r="N90" s="259">
        <v>97.2</v>
      </c>
      <c r="O90" s="267">
        <v>85.5</v>
      </c>
      <c r="P90" s="260">
        <v>74.5</v>
      </c>
      <c r="Q90" s="261">
        <v>78.5</v>
      </c>
      <c r="R90" s="88">
        <v>17</v>
      </c>
      <c r="S90" s="78">
        <f>R90</f>
        <v>17</v>
      </c>
      <c r="T90" s="19"/>
      <c r="U90" s="11"/>
      <c r="V90" s="3"/>
      <c r="W90" s="305"/>
      <c r="X90" s="88"/>
      <c r="Y90" s="78"/>
      <c r="Z90" s="19"/>
      <c r="AA90" s="11"/>
      <c r="AB90" s="3"/>
      <c r="AC90" s="25"/>
      <c r="AD90" s="88"/>
      <c r="AE90" s="78"/>
    </row>
    <row r="91" spans="1:31">
      <c r="A91" s="3" t="s">
        <v>84</v>
      </c>
      <c r="B91" s="3" t="s">
        <v>49</v>
      </c>
      <c r="C91" s="221" t="s">
        <v>50</v>
      </c>
      <c r="D91" s="202" t="s">
        <v>86</v>
      </c>
      <c r="E91" s="5"/>
      <c r="F91" s="88">
        <f t="shared" si="23"/>
        <v>18</v>
      </c>
      <c r="G91" s="78"/>
      <c r="H91" s="19"/>
      <c r="I91" s="11"/>
      <c r="J91" s="3"/>
      <c r="K91" s="16"/>
      <c r="L91" s="88"/>
      <c r="M91" s="78"/>
      <c r="N91" s="259">
        <v>90</v>
      </c>
      <c r="O91" s="267">
        <v>89.5</v>
      </c>
      <c r="P91" s="260">
        <v>76.5</v>
      </c>
      <c r="Q91" s="261">
        <v>80.5</v>
      </c>
      <c r="R91" s="88">
        <v>18</v>
      </c>
      <c r="S91" s="78">
        <f>R91</f>
        <v>18</v>
      </c>
      <c r="T91" s="271">
        <f>(7+7+7+7+6.5+7+7+7+6*2+6.5*2+6*2)*(100/140)</f>
        <v>66.071428571428569</v>
      </c>
      <c r="U91" s="271">
        <f>0.65*50+0.6*10+0.6*20+0.6*20</f>
        <v>62.5</v>
      </c>
      <c r="V91" s="271">
        <f>0.6*30+0.7*30+0.65*20+0.6*20</f>
        <v>64</v>
      </c>
      <c r="W91" s="305" cm="1">
        <f t="array" ref="W91">_xlfn.IFS(T91&gt;"A","",U91&gt;"A","",V91&gt;"A","",TRUE,AVERAGE(T91:V91))</f>
        <v>64.19047619047619</v>
      </c>
      <c r="X91" s="88"/>
      <c r="Y91" s="78" t="s">
        <v>31</v>
      </c>
      <c r="Z91" s="19"/>
      <c r="AA91" s="11"/>
      <c r="AB91" s="3"/>
      <c r="AC91" s="25"/>
      <c r="AD91" s="88"/>
      <c r="AE91" s="78"/>
    </row>
    <row r="92" spans="1:31">
      <c r="A92" t="s">
        <v>306</v>
      </c>
      <c r="B92" t="s">
        <v>353</v>
      </c>
      <c r="C92" s="202" t="s">
        <v>63</v>
      </c>
      <c r="D92" s="202" t="s">
        <v>482</v>
      </c>
      <c r="E92" s="5"/>
      <c r="F92" s="88">
        <f t="shared" si="23"/>
        <v>0</v>
      </c>
      <c r="G92" s="78"/>
      <c r="H92" s="19"/>
      <c r="I92" s="11"/>
      <c r="J92" s="3"/>
      <c r="K92" s="16"/>
      <c r="L92" s="88"/>
      <c r="M92" s="78"/>
      <c r="N92" s="259"/>
      <c r="O92" s="267"/>
      <c r="P92" s="260"/>
      <c r="Q92" s="261"/>
      <c r="R92" s="88"/>
      <c r="S92" s="78"/>
      <c r="T92" s="271">
        <f>(5.5+7+6+6.5+5+5.5+6.5+7+6*2+7*2+6*2)*100/140</f>
        <v>62.142857142857146</v>
      </c>
      <c r="U92" s="271">
        <f>0.55*50+0.55*10+0.55*20+0.65*20</f>
        <v>57</v>
      </c>
      <c r="V92" s="271">
        <f>0.7*30+0.6*30+0.65*20+0.6*20</f>
        <v>64</v>
      </c>
      <c r="W92" s="305" cm="1">
        <f t="array" ref="W92">_xlfn.IFS(T92&gt;"A","",U92&gt;"A","",V92&gt;"A","",TRUE,AVERAGE(T92:V92))</f>
        <v>61.047619047619044</v>
      </c>
      <c r="X92" s="88"/>
      <c r="Y92" s="78" t="s">
        <v>31</v>
      </c>
      <c r="Z92" s="19"/>
      <c r="AA92" s="11"/>
      <c r="AB92" s="3"/>
      <c r="AC92" s="25"/>
      <c r="AD92" s="88"/>
      <c r="AE92" s="78"/>
    </row>
    <row r="93" spans="1:31" ht="16.5" thickBot="1">
      <c r="A93" s="2"/>
      <c r="B93" s="2"/>
      <c r="C93" s="2"/>
      <c r="D93" s="2"/>
      <c r="E93" s="5"/>
      <c r="F93" s="90">
        <f t="shared" si="23"/>
        <v>0</v>
      </c>
      <c r="G93" s="86"/>
      <c r="H93" s="19"/>
      <c r="I93" s="11"/>
      <c r="J93" s="3"/>
      <c r="K93" s="16"/>
      <c r="L93" s="159"/>
      <c r="M93" s="161"/>
      <c r="N93" s="259"/>
      <c r="O93" s="267"/>
      <c r="P93" s="260"/>
      <c r="Q93" s="266"/>
      <c r="R93" s="159"/>
      <c r="S93" s="161"/>
      <c r="T93" s="19"/>
      <c r="U93" s="11"/>
      <c r="V93" s="3"/>
      <c r="W93" s="16"/>
      <c r="X93" s="159"/>
      <c r="Y93" s="161"/>
      <c r="Z93" s="19"/>
      <c r="AA93" s="11"/>
      <c r="AB93" s="3"/>
      <c r="AC93" s="16"/>
      <c r="AD93" s="159"/>
      <c r="AE93" s="161"/>
    </row>
    <row r="94" spans="1:31">
      <c r="A94" s="7"/>
      <c r="B94" s="7"/>
      <c r="C94" s="7"/>
      <c r="D94" s="7"/>
      <c r="E94" s="7"/>
    </row>
    <row r="95" spans="1:31" ht="16.5" thickBot="1">
      <c r="A95" s="7"/>
      <c r="B95" s="7"/>
      <c r="C95" s="7"/>
      <c r="D95" s="7"/>
      <c r="E95" s="7"/>
    </row>
    <row r="96" spans="1:31" ht="24" thickBot="1">
      <c r="H96" s="418" t="s">
        <v>155</v>
      </c>
      <c r="I96" s="403"/>
      <c r="J96" s="403"/>
      <c r="K96" s="403"/>
      <c r="L96" s="403"/>
      <c r="M96" s="404"/>
      <c r="N96" s="399" t="s">
        <v>156</v>
      </c>
      <c r="O96" s="400"/>
      <c r="P96" s="400"/>
      <c r="Q96" s="400"/>
      <c r="R96" s="400"/>
      <c r="S96" s="401"/>
      <c r="T96" s="390" t="s">
        <v>4</v>
      </c>
      <c r="U96" s="420"/>
      <c r="V96" s="420"/>
      <c r="W96" s="420"/>
      <c r="X96" s="420"/>
      <c r="Y96" s="421"/>
      <c r="Z96" s="427" t="s">
        <v>157</v>
      </c>
      <c r="AA96" s="428"/>
      <c r="AB96" s="428"/>
      <c r="AC96" s="428"/>
      <c r="AD96" s="428"/>
      <c r="AE96" s="429"/>
    </row>
    <row r="97" spans="1:31" ht="47.25">
      <c r="A97" s="416" t="s">
        <v>227</v>
      </c>
      <c r="B97" s="409"/>
      <c r="C97" s="409"/>
      <c r="D97" s="409"/>
      <c r="E97" s="409"/>
      <c r="F97" s="117" t="s">
        <v>9</v>
      </c>
      <c r="G97" s="51" t="s">
        <v>10</v>
      </c>
      <c r="H97" s="59" t="s">
        <v>159</v>
      </c>
      <c r="I97" s="56" t="s">
        <v>160</v>
      </c>
      <c r="J97" s="248" t="s">
        <v>161</v>
      </c>
      <c r="K97" s="246" t="s">
        <v>162</v>
      </c>
      <c r="L97" s="97" t="s">
        <v>15</v>
      </c>
      <c r="M97" s="51" t="s">
        <v>16</v>
      </c>
      <c r="N97" s="255" t="s">
        <v>159</v>
      </c>
      <c r="O97" s="265" t="s">
        <v>160</v>
      </c>
      <c r="P97" s="268" t="s">
        <v>161</v>
      </c>
      <c r="Q97" s="258" t="s">
        <v>162</v>
      </c>
      <c r="R97" s="87" t="s">
        <v>15</v>
      </c>
      <c r="S97" s="57" t="s">
        <v>16</v>
      </c>
      <c r="T97" s="59" t="s">
        <v>159</v>
      </c>
      <c r="U97" s="56" t="s">
        <v>160</v>
      </c>
      <c r="V97" s="188" t="s">
        <v>161</v>
      </c>
      <c r="W97" s="246" t="s">
        <v>162</v>
      </c>
      <c r="X97" s="97" t="s">
        <v>15</v>
      </c>
      <c r="Y97" s="57" t="s">
        <v>16</v>
      </c>
      <c r="Z97" s="59" t="s">
        <v>159</v>
      </c>
      <c r="AA97" s="56" t="s">
        <v>160</v>
      </c>
      <c r="AB97" s="188" t="s">
        <v>161</v>
      </c>
      <c r="AC97" s="246" t="s">
        <v>162</v>
      </c>
      <c r="AD97" s="87" t="s">
        <v>15</v>
      </c>
      <c r="AE97" s="57" t="s">
        <v>16</v>
      </c>
    </row>
    <row r="98" spans="1:31" s="45" customFormat="1">
      <c r="A98" s="1" t="s">
        <v>22</v>
      </c>
      <c r="B98" s="1" t="s">
        <v>23</v>
      </c>
      <c r="C98" s="4" t="s">
        <v>24</v>
      </c>
      <c r="D98" s="1" t="s">
        <v>25</v>
      </c>
      <c r="E98" s="4" t="s">
        <v>26</v>
      </c>
      <c r="F98" s="88"/>
      <c r="G98" s="78"/>
      <c r="H98" s="19"/>
      <c r="I98" s="11"/>
      <c r="J98" s="3"/>
      <c r="K98" s="25"/>
      <c r="L98" s="88"/>
      <c r="M98" s="78"/>
      <c r="N98" s="259"/>
      <c r="O98" s="267"/>
      <c r="P98" s="260"/>
      <c r="Q98" s="261"/>
      <c r="R98" s="88"/>
      <c r="S98" s="78"/>
      <c r="T98" s="19"/>
      <c r="U98" s="11"/>
      <c r="V98" s="3"/>
      <c r="W98" s="25"/>
      <c r="X98" s="88"/>
      <c r="Y98" s="78"/>
      <c r="Z98" s="19"/>
      <c r="AA98" s="11"/>
      <c r="AB98" s="3"/>
      <c r="AC98" s="25"/>
      <c r="AD98" s="88"/>
      <c r="AE98" s="78"/>
    </row>
    <row r="99" spans="1:31">
      <c r="A99" s="2" t="s">
        <v>228</v>
      </c>
      <c r="B99" s="2" t="s">
        <v>229</v>
      </c>
      <c r="C99" s="5" t="s">
        <v>230</v>
      </c>
      <c r="D99" s="2" t="s">
        <v>231</v>
      </c>
      <c r="E99" s="5"/>
      <c r="F99" s="88">
        <f>L99+R99+X99+AD99</f>
        <v>20</v>
      </c>
      <c r="G99" s="78"/>
      <c r="H99" s="19"/>
      <c r="I99" s="11"/>
      <c r="J99" s="3"/>
      <c r="K99" s="25"/>
      <c r="L99" s="88"/>
      <c r="M99" s="78"/>
      <c r="N99" s="259">
        <v>94</v>
      </c>
      <c r="O99" s="267">
        <v>95.9</v>
      </c>
      <c r="P99" s="260">
        <v>86.7</v>
      </c>
      <c r="Q99" s="261">
        <v>92.2</v>
      </c>
      <c r="R99" s="88">
        <v>20</v>
      </c>
      <c r="S99" s="78"/>
      <c r="T99" s="271">
        <f>0.65*50+0.65*10+0.7*20+0.6*20</f>
        <v>65</v>
      </c>
      <c r="U99" s="271">
        <f>(0.55*50+0.55*20+0.6*20+0.6*20)*(100/110)</f>
        <v>56.818181818181813</v>
      </c>
      <c r="V99" s="347">
        <f>0.65*30+0.55*30+0.7*20+0.6*20</f>
        <v>62</v>
      </c>
      <c r="W99" s="348" cm="1">
        <f t="array" ref="W99">_xlfn.IFS(T99&gt;"A","",U99&gt;"A","",V99&gt;"A","",TRUE,AVERAGE(T99:V99))</f>
        <v>61.272727272727273</v>
      </c>
      <c r="X99" s="88"/>
      <c r="Y99" s="78" t="s">
        <v>31</v>
      </c>
      <c r="Z99" s="19"/>
      <c r="AA99" s="11"/>
      <c r="AB99" s="3"/>
      <c r="AC99" s="25"/>
      <c r="AD99" s="88"/>
      <c r="AE99" s="78"/>
    </row>
    <row r="100" spans="1:31" ht="16.5" thickBot="1">
      <c r="A100" s="2"/>
      <c r="B100" s="2"/>
      <c r="C100" s="5"/>
      <c r="D100" s="2"/>
      <c r="E100" s="5"/>
      <c r="F100" s="90">
        <f>L100+R100+X100+AD100</f>
        <v>0</v>
      </c>
      <c r="G100" s="86"/>
      <c r="H100" s="19"/>
      <c r="I100" s="11"/>
      <c r="J100" s="3"/>
      <c r="K100" s="16"/>
      <c r="L100" s="90"/>
      <c r="M100" s="86"/>
      <c r="N100" s="259"/>
      <c r="O100" s="267"/>
      <c r="P100" s="260"/>
      <c r="Q100" s="266"/>
      <c r="R100" s="90"/>
      <c r="S100" s="86"/>
      <c r="T100" s="19"/>
      <c r="U100" s="11"/>
      <c r="V100" s="3"/>
      <c r="W100" s="349"/>
      <c r="X100" s="90"/>
      <c r="Y100" s="86"/>
      <c r="Z100" s="19"/>
      <c r="AA100" s="11"/>
      <c r="AB100" s="3"/>
      <c r="AC100" s="16"/>
      <c r="AD100" s="90"/>
      <c r="AE100" s="86"/>
    </row>
    <row r="101" spans="1:31">
      <c r="A101" s="7"/>
      <c r="B101" s="7"/>
      <c r="C101" s="7"/>
      <c r="D101" s="7"/>
      <c r="E101" s="7"/>
      <c r="W101" s="346"/>
    </row>
    <row r="102" spans="1:31" ht="16.5" thickBot="1">
      <c r="A102" s="7"/>
      <c r="B102" s="7"/>
      <c r="C102" s="7"/>
      <c r="D102" s="7"/>
      <c r="E102" s="7"/>
    </row>
    <row r="103" spans="1:31" ht="24" thickBot="1">
      <c r="H103" s="418" t="s">
        <v>155</v>
      </c>
      <c r="I103" s="403"/>
      <c r="J103" s="403"/>
      <c r="K103" s="403"/>
      <c r="L103" s="403"/>
      <c r="M103" s="404"/>
      <c r="N103" s="399" t="s">
        <v>156</v>
      </c>
      <c r="O103" s="400"/>
      <c r="P103" s="400"/>
      <c r="Q103" s="400"/>
      <c r="R103" s="400"/>
      <c r="S103" s="419"/>
      <c r="T103" s="390" t="s">
        <v>4</v>
      </c>
      <c r="U103" s="420"/>
      <c r="V103" s="420"/>
      <c r="W103" s="420"/>
      <c r="X103" s="420"/>
      <c r="Y103" s="421"/>
      <c r="Z103" s="427" t="s">
        <v>157</v>
      </c>
      <c r="AA103" s="428"/>
      <c r="AB103" s="428"/>
      <c r="AC103" s="428"/>
      <c r="AD103" s="428"/>
      <c r="AE103" s="429"/>
    </row>
    <row r="104" spans="1:31" ht="47.25">
      <c r="A104" s="416" t="s">
        <v>232</v>
      </c>
      <c r="B104" s="409"/>
      <c r="C104" s="409"/>
      <c r="D104" s="409"/>
      <c r="E104" s="409"/>
      <c r="F104" s="117" t="s">
        <v>9</v>
      </c>
      <c r="G104" s="51" t="s">
        <v>10</v>
      </c>
      <c r="H104" s="59" t="s">
        <v>159</v>
      </c>
      <c r="I104" s="56" t="s">
        <v>160</v>
      </c>
      <c r="J104" s="248" t="s">
        <v>161</v>
      </c>
      <c r="K104" s="246" t="s">
        <v>162</v>
      </c>
      <c r="L104" s="97" t="s">
        <v>15</v>
      </c>
      <c r="M104" s="51" t="s">
        <v>16</v>
      </c>
      <c r="N104" s="255" t="s">
        <v>159</v>
      </c>
      <c r="O104" s="265" t="s">
        <v>160</v>
      </c>
      <c r="P104" s="268" t="s">
        <v>161</v>
      </c>
      <c r="Q104" s="258" t="s">
        <v>162</v>
      </c>
      <c r="R104" s="102" t="s">
        <v>15</v>
      </c>
      <c r="S104" s="51" t="s">
        <v>16</v>
      </c>
      <c r="T104" s="59" t="s">
        <v>159</v>
      </c>
      <c r="U104" s="56" t="s">
        <v>160</v>
      </c>
      <c r="V104" s="188" t="s">
        <v>161</v>
      </c>
      <c r="W104" s="246" t="s">
        <v>162</v>
      </c>
      <c r="X104" s="97" t="s">
        <v>15</v>
      </c>
      <c r="Y104" s="51" t="s">
        <v>16</v>
      </c>
      <c r="Z104" s="59" t="s">
        <v>159</v>
      </c>
      <c r="AA104" s="56" t="s">
        <v>160</v>
      </c>
      <c r="AB104" s="188" t="s">
        <v>161</v>
      </c>
      <c r="AC104" s="246" t="s">
        <v>162</v>
      </c>
      <c r="AD104" s="97" t="s">
        <v>15</v>
      </c>
      <c r="AE104" s="51" t="s">
        <v>16</v>
      </c>
    </row>
    <row r="105" spans="1:31" s="45" customFormat="1">
      <c r="A105" s="1" t="s">
        <v>22</v>
      </c>
      <c r="B105" s="1" t="s">
        <v>23</v>
      </c>
      <c r="C105" s="1" t="s">
        <v>24</v>
      </c>
      <c r="D105" s="1" t="s">
        <v>25</v>
      </c>
      <c r="E105" s="4" t="s">
        <v>26</v>
      </c>
      <c r="F105" s="88"/>
      <c r="G105" s="78"/>
      <c r="H105" s="19"/>
      <c r="I105" s="11"/>
      <c r="J105" s="3"/>
      <c r="K105" s="25"/>
      <c r="L105" s="88"/>
      <c r="M105" s="78"/>
      <c r="N105" s="259"/>
      <c r="O105" s="267"/>
      <c r="P105" s="260"/>
      <c r="Q105" s="261"/>
      <c r="R105" s="111"/>
      <c r="S105" s="78"/>
      <c r="T105" s="19"/>
      <c r="U105" s="11"/>
      <c r="V105" s="3"/>
      <c r="W105" s="25"/>
      <c r="X105" s="88"/>
      <c r="Y105" s="78"/>
      <c r="Z105" s="19"/>
      <c r="AA105" s="11"/>
      <c r="AB105" s="3"/>
      <c r="AC105" s="25"/>
      <c r="AD105" s="88"/>
      <c r="AE105" s="78"/>
    </row>
    <row r="106" spans="1:31" s="45" customFormat="1">
      <c r="A106" s="3" t="s">
        <v>233</v>
      </c>
      <c r="B106" t="s">
        <v>191</v>
      </c>
      <c r="C106" s="219" t="s">
        <v>79</v>
      </c>
      <c r="D106" s="202" t="s">
        <v>234</v>
      </c>
      <c r="E106" s="4"/>
      <c r="F106" s="89">
        <f t="shared" ref="F106:F111" si="25">L106+R106+X106+AD106</f>
        <v>0</v>
      </c>
      <c r="G106" s="85"/>
      <c r="H106" s="19"/>
      <c r="I106" s="11"/>
      <c r="J106" s="3"/>
      <c r="K106" s="214"/>
      <c r="L106" s="89"/>
      <c r="M106" s="85"/>
      <c r="N106" s="259"/>
      <c r="O106" s="267"/>
      <c r="P106" s="260"/>
      <c r="Q106" s="261" t="str">
        <f>IFERROR(AVERAGE(N106:P106),"")</f>
        <v/>
      </c>
      <c r="R106" s="152"/>
      <c r="S106" s="78"/>
      <c r="T106" s="19"/>
      <c r="U106" s="11"/>
      <c r="V106" s="3"/>
      <c r="W106" s="305"/>
      <c r="X106" s="89"/>
      <c r="Y106" s="85"/>
      <c r="Z106" s="19"/>
      <c r="AA106" s="11"/>
      <c r="AB106" s="3"/>
      <c r="AC106" s="214"/>
      <c r="AD106" s="89"/>
      <c r="AE106" s="85"/>
    </row>
    <row r="107" spans="1:31">
      <c r="A107" s="3" t="s">
        <v>235</v>
      </c>
      <c r="B107" s="3" t="s">
        <v>236</v>
      </c>
      <c r="C107" s="205" t="s">
        <v>63</v>
      </c>
      <c r="D107" s="202" t="s">
        <v>237</v>
      </c>
      <c r="E107" s="205">
        <v>12</v>
      </c>
      <c r="F107" s="88">
        <f t="shared" si="25"/>
        <v>0</v>
      </c>
      <c r="G107" s="78"/>
      <c r="H107" s="19"/>
      <c r="I107" s="11"/>
      <c r="J107" s="3"/>
      <c r="K107" s="11"/>
      <c r="L107" s="88"/>
      <c r="M107" s="78"/>
      <c r="N107" s="259"/>
      <c r="O107" s="267"/>
      <c r="P107" s="260"/>
      <c r="Q107" s="261" t="str">
        <f>IFERROR(AVERAGE(N107:P107),"")</f>
        <v/>
      </c>
      <c r="R107" s="111"/>
      <c r="S107" s="78"/>
      <c r="T107" s="271">
        <f>0.65*50+0.7*10+0.75*20+0.8*20</f>
        <v>70.5</v>
      </c>
      <c r="U107" s="271">
        <f>(0.65*50+0.7*20+0.7*20+0.8*20)*(100/110)</f>
        <v>69.545454545454547</v>
      </c>
      <c r="V107" s="272">
        <f>0.7*30+0.75*30+0.85*20+0.8*20</f>
        <v>76.5</v>
      </c>
      <c r="W107" s="305" cm="1">
        <f t="array" ref="W107">_xlfn.IFS(T107&gt;"A","",U107&gt;"A","",V107&gt;"A","",TRUE,AVERAGE(T107:V107))</f>
        <v>72.181818181818187</v>
      </c>
      <c r="X107" s="88"/>
      <c r="Y107" s="78" t="s">
        <v>31</v>
      </c>
      <c r="Z107" s="19"/>
      <c r="AA107" s="11"/>
      <c r="AB107" s="3"/>
      <c r="AC107" s="11"/>
      <c r="AD107" s="88"/>
      <c r="AE107" s="78"/>
    </row>
    <row r="108" spans="1:31">
      <c r="A108" s="3" t="s">
        <v>228</v>
      </c>
      <c r="B108" s="3" t="s">
        <v>229</v>
      </c>
      <c r="C108" s="3" t="s">
        <v>230</v>
      </c>
      <c r="D108" s="3" t="s">
        <v>238</v>
      </c>
      <c r="F108" s="88">
        <f t="shared" si="25"/>
        <v>20</v>
      </c>
      <c r="G108" s="78"/>
      <c r="H108" s="19"/>
      <c r="I108" s="11"/>
      <c r="J108" s="3"/>
      <c r="K108" s="11"/>
      <c r="L108" s="88"/>
      <c r="M108" s="78"/>
      <c r="N108" s="259">
        <v>85</v>
      </c>
      <c r="O108" s="267">
        <v>93.5</v>
      </c>
      <c r="P108" s="260">
        <v>70</v>
      </c>
      <c r="Q108" s="261">
        <v>73.099999999999994</v>
      </c>
      <c r="R108" s="111">
        <v>20</v>
      </c>
      <c r="S108" s="78">
        <v>20</v>
      </c>
      <c r="T108" s="271">
        <f>0.75*50+0.75*10+0.75*20+0.7*20</f>
        <v>74</v>
      </c>
      <c r="U108" s="271">
        <f>(0.7*50+0.7*20+0.7*20+0.7*20)*(100/110)</f>
        <v>70</v>
      </c>
      <c r="V108" s="272">
        <f>0.7*30+0.7*30+0.7*20+0.65*20</f>
        <v>69</v>
      </c>
      <c r="W108" s="305" cm="1">
        <f t="array" ref="W108">_xlfn.IFS(T108&gt;"A","",U108&gt;"A","",V108&gt;"A","",TRUE,AVERAGE(T108:V108))</f>
        <v>71</v>
      </c>
      <c r="X108" s="88"/>
      <c r="Y108" s="78" t="s">
        <v>31</v>
      </c>
      <c r="Z108" s="19"/>
      <c r="AA108" s="11"/>
      <c r="AB108" s="3"/>
      <c r="AC108" s="11"/>
      <c r="AD108" s="88"/>
      <c r="AE108" s="78"/>
    </row>
    <row r="109" spans="1:31">
      <c r="A109" s="3" t="s">
        <v>139</v>
      </c>
      <c r="B109" s="3" t="s">
        <v>140</v>
      </c>
      <c r="C109" s="202" t="s">
        <v>63</v>
      </c>
      <c r="D109" s="202" t="s">
        <v>244</v>
      </c>
      <c r="F109" s="88">
        <f t="shared" si="25"/>
        <v>0</v>
      </c>
      <c r="G109" s="78"/>
      <c r="H109" s="19"/>
      <c r="I109" s="11"/>
      <c r="J109" s="3"/>
      <c r="K109" s="25"/>
      <c r="L109" s="88"/>
      <c r="M109" s="78"/>
      <c r="N109" s="259"/>
      <c r="O109" s="267"/>
      <c r="P109" s="260"/>
      <c r="Q109" s="261"/>
      <c r="R109" s="111"/>
      <c r="S109" s="78"/>
      <c r="T109" s="271">
        <f>0.7*50+0.65*10+0.65*20+0.6*20</f>
        <v>66.5</v>
      </c>
      <c r="U109" s="271">
        <f>(0.6*50+0.6*20+0.7*20+0.6*20)*(100/110)</f>
        <v>61.818181818181813</v>
      </c>
      <c r="V109" s="272">
        <f>0.7*30+0.7*30+0.7*20+0.7*20</f>
        <v>70</v>
      </c>
      <c r="W109" s="305" cm="1">
        <f t="array" ref="W109">_xlfn.IFS(T109&gt;"A","",U109&gt;"A","",V109&gt;"A","",TRUE,AVERAGE(T109:V109))</f>
        <v>66.106060606060609</v>
      </c>
      <c r="X109" s="104"/>
      <c r="Y109" s="137" t="s">
        <v>31</v>
      </c>
      <c r="Z109" s="19"/>
      <c r="AA109" s="11"/>
      <c r="AB109" s="3"/>
      <c r="AC109" s="25"/>
      <c r="AD109" s="88"/>
      <c r="AE109" s="78"/>
    </row>
    <row r="110" spans="1:31">
      <c r="A110" s="3" t="s">
        <v>472</v>
      </c>
      <c r="B110" s="3" t="s">
        <v>473</v>
      </c>
      <c r="C110" s="202" t="s">
        <v>474</v>
      </c>
      <c r="D110" s="202" t="s">
        <v>475</v>
      </c>
      <c r="F110" s="88">
        <f t="shared" si="25"/>
        <v>25</v>
      </c>
      <c r="G110" s="78"/>
      <c r="H110" s="19"/>
      <c r="I110" s="11"/>
      <c r="J110" s="3"/>
      <c r="K110" s="25"/>
      <c r="L110" s="88"/>
      <c r="M110" s="78"/>
      <c r="N110" s="259"/>
      <c r="O110" s="267"/>
      <c r="P110" s="260"/>
      <c r="Q110" s="261"/>
      <c r="R110" s="111"/>
      <c r="S110" s="78"/>
      <c r="T110" s="271">
        <f>0.9*50+0.85*10+0.9*20+0.9*20</f>
        <v>89.5</v>
      </c>
      <c r="U110" s="271">
        <f>(0.9*50+0.9*20+0.7*20+0.9*20)*(100/110)</f>
        <v>86.36363636363636</v>
      </c>
      <c r="V110" s="272">
        <f>0.8*30+0.85*30+0.9*20+0.9*20</f>
        <v>85.5</v>
      </c>
      <c r="W110" s="305" cm="1">
        <f t="array" ref="W110">_xlfn.IFS(T110&gt;"A","",U110&gt;"A","",V110&gt;"A","",TRUE,AVERAGE(T110:V110))</f>
        <v>87.121212121212125</v>
      </c>
      <c r="X110" s="88">
        <v>25</v>
      </c>
      <c r="Y110" s="78">
        <v>20</v>
      </c>
      <c r="Z110" s="19"/>
      <c r="AA110" s="11"/>
      <c r="AB110" s="3"/>
      <c r="AC110" s="25"/>
      <c r="AD110" s="88"/>
      <c r="AE110" s="78"/>
    </row>
    <row r="111" spans="1:31">
      <c r="A111" s="3" t="s">
        <v>143</v>
      </c>
      <c r="B111" s="3" t="s">
        <v>245</v>
      </c>
      <c r="C111" s="202" t="s">
        <v>63</v>
      </c>
      <c r="D111" s="202" t="s">
        <v>476</v>
      </c>
      <c r="F111" s="88">
        <f t="shared" si="25"/>
        <v>24</v>
      </c>
      <c r="G111" s="78"/>
      <c r="H111" s="19"/>
      <c r="I111" s="11"/>
      <c r="J111" s="3"/>
      <c r="K111" s="25"/>
      <c r="L111" s="88"/>
      <c r="M111" s="78"/>
      <c r="N111" s="259"/>
      <c r="O111" s="267"/>
      <c r="P111" s="260"/>
      <c r="Q111" s="261"/>
      <c r="R111" s="111"/>
      <c r="S111" s="78"/>
      <c r="T111" s="271">
        <f>0.75*50+0.75*10+0.75*20+0.9*20</f>
        <v>78</v>
      </c>
      <c r="U111" s="271">
        <f>(0.85*50+0.8*20+0.85*20+0.9*20)*(100/110)</f>
        <v>85</v>
      </c>
      <c r="V111" s="272">
        <f>0.9*30+0.9*30+0.9*20+0.9*20</f>
        <v>90</v>
      </c>
      <c r="W111" s="305" cm="1">
        <f t="array" ref="W111">_xlfn.IFS(T111&gt;"A","",U111&gt;"A","",V111&gt;"A","",TRUE,AVERAGE(T111:V111))</f>
        <v>84.333333333333329</v>
      </c>
      <c r="X111" s="88">
        <v>24</v>
      </c>
      <c r="Y111" s="78">
        <v>19</v>
      </c>
      <c r="Z111" s="19"/>
      <c r="AA111" s="11"/>
      <c r="AB111" s="3"/>
      <c r="AC111" s="25"/>
      <c r="AD111" s="88"/>
      <c r="AE111" s="78"/>
    </row>
    <row r="112" spans="1:31">
      <c r="A112" s="3"/>
      <c r="B112" s="3"/>
      <c r="C112" s="202"/>
      <c r="D112" s="202"/>
      <c r="F112" s="88"/>
      <c r="G112" s="78"/>
      <c r="H112" s="19"/>
      <c r="I112" s="11"/>
      <c r="J112" s="3"/>
      <c r="K112" s="25"/>
      <c r="L112" s="88"/>
      <c r="M112" s="78"/>
      <c r="N112" s="259"/>
      <c r="O112" s="267"/>
      <c r="P112" s="260"/>
      <c r="Q112" s="261"/>
      <c r="R112" s="111"/>
      <c r="S112" s="78"/>
      <c r="T112" s="19"/>
      <c r="U112" s="11"/>
      <c r="V112" s="3"/>
      <c r="W112" s="25"/>
      <c r="X112" s="88"/>
      <c r="Y112" s="78"/>
      <c r="Z112" s="19"/>
      <c r="AA112" s="11"/>
      <c r="AB112" s="3"/>
      <c r="AC112" s="25"/>
      <c r="AD112" s="88"/>
      <c r="AE112" s="78"/>
    </row>
    <row r="113" spans="1:31" ht="16.5" thickBot="1">
      <c r="A113" s="3"/>
      <c r="B113" s="3"/>
      <c r="C113" s="202"/>
      <c r="D113" s="202"/>
      <c r="F113" s="90"/>
      <c r="G113" s="86"/>
      <c r="H113" s="19"/>
      <c r="I113" s="11"/>
      <c r="J113" s="3"/>
      <c r="K113" s="25"/>
      <c r="L113" s="90"/>
      <c r="M113" s="86"/>
      <c r="N113" s="259"/>
      <c r="O113" s="267"/>
      <c r="P113" s="260"/>
      <c r="Q113" s="261"/>
      <c r="R113" s="112"/>
      <c r="S113" s="86"/>
      <c r="T113" s="19"/>
      <c r="U113" s="11"/>
      <c r="V113" s="3"/>
      <c r="W113" s="25"/>
      <c r="X113" s="90"/>
      <c r="Y113" s="86"/>
      <c r="Z113" s="19"/>
      <c r="AA113" s="11"/>
      <c r="AB113" s="3"/>
      <c r="AC113" s="25"/>
      <c r="AD113" s="90"/>
      <c r="AE113" s="86"/>
    </row>
    <row r="114" spans="1:31" ht="16.5" thickBot="1">
      <c r="Q114" s="350" t="str">
        <f>IFERROR(AVERAGE(N114:P114),"")</f>
        <v/>
      </c>
    </row>
    <row r="115" spans="1:31" ht="24" thickBot="1">
      <c r="H115" s="418" t="s">
        <v>155</v>
      </c>
      <c r="I115" s="403"/>
      <c r="J115" s="403"/>
      <c r="K115" s="403"/>
      <c r="L115" s="403"/>
      <c r="M115" s="404"/>
      <c r="N115" s="399" t="s">
        <v>156</v>
      </c>
      <c r="O115" s="400"/>
      <c r="P115" s="400"/>
      <c r="Q115" s="400"/>
      <c r="R115" s="400"/>
      <c r="S115" s="401"/>
      <c r="T115" s="390" t="s">
        <v>4</v>
      </c>
      <c r="U115" s="420"/>
      <c r="V115" s="420"/>
      <c r="W115" s="420"/>
      <c r="X115" s="420"/>
      <c r="Y115" s="421"/>
      <c r="Z115" s="427" t="s">
        <v>157</v>
      </c>
      <c r="AA115" s="428"/>
      <c r="AB115" s="428"/>
      <c r="AC115" s="428"/>
      <c r="AD115" s="428"/>
      <c r="AE115" s="429"/>
    </row>
    <row r="116" spans="1:31" ht="47.25">
      <c r="A116" s="416" t="s">
        <v>239</v>
      </c>
      <c r="B116" s="409"/>
      <c r="C116" s="409"/>
      <c r="D116" s="409"/>
      <c r="E116" s="409"/>
      <c r="F116" s="117" t="s">
        <v>9</v>
      </c>
      <c r="G116" s="51" t="s">
        <v>10</v>
      </c>
      <c r="H116" s="59" t="s">
        <v>159</v>
      </c>
      <c r="I116" s="56" t="s">
        <v>160</v>
      </c>
      <c r="J116" s="248" t="s">
        <v>161</v>
      </c>
      <c r="K116" s="246" t="s">
        <v>162</v>
      </c>
      <c r="L116" s="97" t="s">
        <v>15</v>
      </c>
      <c r="M116" s="51" t="s">
        <v>16</v>
      </c>
      <c r="N116" s="255" t="s">
        <v>159</v>
      </c>
      <c r="O116" s="265" t="s">
        <v>160</v>
      </c>
      <c r="P116" s="268" t="s">
        <v>161</v>
      </c>
      <c r="Q116" s="258" t="s">
        <v>162</v>
      </c>
      <c r="R116" s="97" t="s">
        <v>15</v>
      </c>
      <c r="S116" s="51" t="s">
        <v>16</v>
      </c>
      <c r="T116" s="59" t="s">
        <v>159</v>
      </c>
      <c r="U116" s="56" t="s">
        <v>160</v>
      </c>
      <c r="V116" s="188" t="s">
        <v>161</v>
      </c>
      <c r="W116" s="246" t="s">
        <v>162</v>
      </c>
      <c r="X116" s="97" t="s">
        <v>15</v>
      </c>
      <c r="Y116" s="51" t="s">
        <v>16</v>
      </c>
      <c r="Z116" s="59" t="s">
        <v>159</v>
      </c>
      <c r="AA116" s="56" t="s">
        <v>160</v>
      </c>
      <c r="AB116" s="188" t="s">
        <v>161</v>
      </c>
      <c r="AC116" s="246" t="s">
        <v>162</v>
      </c>
      <c r="AD116" s="97" t="s">
        <v>15</v>
      </c>
      <c r="AE116" s="51" t="s">
        <v>16</v>
      </c>
    </row>
    <row r="117" spans="1:31" s="45" customFormat="1">
      <c r="A117" s="1" t="s">
        <v>22</v>
      </c>
      <c r="B117" s="1" t="s">
        <v>23</v>
      </c>
      <c r="C117" s="1" t="s">
        <v>24</v>
      </c>
      <c r="D117" s="1" t="s">
        <v>25</v>
      </c>
      <c r="E117" s="4" t="s">
        <v>26</v>
      </c>
      <c r="F117" s="88"/>
      <c r="G117" s="78"/>
      <c r="H117" s="19"/>
      <c r="I117" s="11"/>
      <c r="J117" s="3"/>
      <c r="K117" s="25"/>
      <c r="L117" s="88"/>
      <c r="M117" s="78"/>
      <c r="N117" s="259"/>
      <c r="O117" s="267"/>
      <c r="P117" s="260"/>
      <c r="Q117" s="261"/>
      <c r="R117" s="88"/>
      <c r="S117" s="78"/>
      <c r="T117" s="19"/>
      <c r="U117" s="11"/>
      <c r="V117" s="3"/>
      <c r="W117" s="305"/>
      <c r="X117" s="88"/>
      <c r="Y117" s="78"/>
      <c r="Z117" s="19"/>
      <c r="AA117" s="11"/>
      <c r="AB117" s="3"/>
      <c r="AC117" s="25"/>
      <c r="AD117" s="88"/>
      <c r="AE117" s="78"/>
    </row>
    <row r="118" spans="1:31" s="45" customFormat="1">
      <c r="A118" s="3" t="s">
        <v>109</v>
      </c>
      <c r="B118" s="3" t="s">
        <v>110</v>
      </c>
      <c r="C118" s="202" t="s">
        <v>111</v>
      </c>
      <c r="D118" s="202" t="s">
        <v>112</v>
      </c>
      <c r="E118" s="205">
        <v>10</v>
      </c>
      <c r="F118" s="88">
        <f>L118+R118+X4121+AD118+X118</f>
        <v>0</v>
      </c>
      <c r="G118" s="85"/>
      <c r="H118" s="19"/>
      <c r="I118" s="11"/>
      <c r="J118" s="3"/>
      <c r="K118" s="214"/>
      <c r="L118" s="89"/>
      <c r="M118" s="85"/>
      <c r="N118" s="259"/>
      <c r="O118" s="267"/>
      <c r="P118" s="260"/>
      <c r="Q118" s="261" t="str">
        <f t="shared" ref="Q118:Q123" si="26">IFERROR(AVERAGE(N118:P118),"")</f>
        <v/>
      </c>
      <c r="R118" s="89"/>
      <c r="S118" s="85"/>
      <c r="T118" s="19"/>
      <c r="U118" s="11"/>
      <c r="V118" s="3"/>
      <c r="W118" s="305"/>
      <c r="X118" s="89"/>
      <c r="Y118" s="85"/>
      <c r="Z118" s="19"/>
      <c r="AA118" s="11"/>
      <c r="AB118" s="3"/>
      <c r="AC118" s="214"/>
      <c r="AD118" s="89"/>
      <c r="AE118" s="85"/>
    </row>
    <row r="119" spans="1:31" s="45" customFormat="1">
      <c r="A119" s="3" t="s">
        <v>240</v>
      </c>
      <c r="B119" s="3" t="s">
        <v>241</v>
      </c>
      <c r="C119" s="202" t="s">
        <v>242</v>
      </c>
      <c r="D119" s="202" t="s">
        <v>243</v>
      </c>
      <c r="E119" s="205"/>
      <c r="F119" s="88">
        <f>L119+R119+X4122+AD119+X119</f>
        <v>0</v>
      </c>
      <c r="G119" s="85"/>
      <c r="H119" s="19"/>
      <c r="I119" s="11"/>
      <c r="J119" s="3"/>
      <c r="K119" s="214"/>
      <c r="L119" s="89"/>
      <c r="M119" s="85"/>
      <c r="N119" s="259"/>
      <c r="O119" s="267"/>
      <c r="P119" s="260"/>
      <c r="Q119" s="261" t="str">
        <f t="shared" si="26"/>
        <v/>
      </c>
      <c r="R119" s="89"/>
      <c r="S119" s="85"/>
      <c r="T119" s="19"/>
      <c r="U119" s="11"/>
      <c r="V119" s="3"/>
      <c r="W119" s="305"/>
      <c r="X119" s="89"/>
      <c r="Y119" s="85"/>
      <c r="Z119" s="19"/>
      <c r="AA119" s="11"/>
      <c r="AB119" s="3"/>
      <c r="AC119" s="214"/>
      <c r="AD119" s="89"/>
      <c r="AE119" s="85"/>
    </row>
    <row r="120" spans="1:31" s="45" customFormat="1">
      <c r="A120" s="3" t="s">
        <v>143</v>
      </c>
      <c r="B120" s="3" t="s">
        <v>245</v>
      </c>
      <c r="C120" s="202" t="s">
        <v>63</v>
      </c>
      <c r="D120" s="202" t="s">
        <v>246</v>
      </c>
      <c r="E120" s="205"/>
      <c r="F120" s="88">
        <f>L120+R120+X4123+AD120+X120</f>
        <v>0</v>
      </c>
      <c r="G120" s="85"/>
      <c r="H120" s="19"/>
      <c r="I120" s="11"/>
      <c r="J120" s="3"/>
      <c r="K120" s="214"/>
      <c r="L120" s="89"/>
      <c r="M120" s="85"/>
      <c r="N120" s="259"/>
      <c r="O120" s="267"/>
      <c r="P120" s="260"/>
      <c r="Q120" s="261" t="str">
        <f t="shared" si="26"/>
        <v/>
      </c>
      <c r="R120" s="89"/>
      <c r="S120" s="85"/>
      <c r="T120" s="19"/>
      <c r="U120" s="11"/>
      <c r="V120" s="3"/>
      <c r="W120" s="305"/>
      <c r="X120" s="89"/>
      <c r="Y120" s="85"/>
      <c r="Z120" s="19"/>
      <c r="AA120" s="11"/>
      <c r="AB120" s="3"/>
      <c r="AC120" s="214"/>
      <c r="AD120" s="89"/>
      <c r="AE120" s="85"/>
    </row>
    <row r="121" spans="1:31" s="45" customFormat="1">
      <c r="A121" s="219" t="s">
        <v>247</v>
      </c>
      <c r="B121" s="219" t="s">
        <v>248</v>
      </c>
      <c r="C121" s="202" t="s">
        <v>199</v>
      </c>
      <c r="D121" s="219" t="s">
        <v>249</v>
      </c>
      <c r="E121" s="205"/>
      <c r="F121" s="88">
        <f>L121+R121+X4124+AD121+X121</f>
        <v>0</v>
      </c>
      <c r="G121" s="85"/>
      <c r="H121" s="19"/>
      <c r="I121" s="11"/>
      <c r="J121" s="3"/>
      <c r="K121" s="214"/>
      <c r="L121" s="88"/>
      <c r="M121" s="78"/>
      <c r="N121" s="259"/>
      <c r="O121" s="267"/>
      <c r="P121" s="260"/>
      <c r="Q121" s="261" t="str">
        <f t="shared" si="26"/>
        <v/>
      </c>
      <c r="R121" s="89"/>
      <c r="S121" s="85"/>
      <c r="T121" s="271">
        <f>(7+6+7+6.5+7.5+7.5+7.5+6.5+7.5*2+6.5*2+7.5*2)*100/140</f>
        <v>70.357142857142861</v>
      </c>
      <c r="U121" s="271">
        <f>0.75*50+0.75*10+0.75*20+0.7*20</f>
        <v>74</v>
      </c>
      <c r="V121" s="271">
        <f>0.65*30+0.75*30+0.7*20+0.65*20</f>
        <v>69</v>
      </c>
      <c r="W121" s="305" cm="1">
        <f t="array" ref="W121">_xlfn.IFS(T121&gt;"A","",U121&gt;"A","",V121&gt;"A","",TRUE,AVERAGE(T121:V121))</f>
        <v>71.11904761904762</v>
      </c>
      <c r="X121" s="88"/>
      <c r="Y121" s="78" t="s">
        <v>31</v>
      </c>
      <c r="Z121" s="19"/>
      <c r="AA121" s="11"/>
      <c r="AB121" s="3"/>
      <c r="AC121" s="214"/>
      <c r="AD121" s="89"/>
      <c r="AE121" s="85"/>
    </row>
    <row r="122" spans="1:31">
      <c r="A122" s="219" t="s">
        <v>125</v>
      </c>
      <c r="B122" s="219" t="s">
        <v>126</v>
      </c>
      <c r="C122" s="219" t="s">
        <v>127</v>
      </c>
      <c r="D122" s="219" t="s">
        <v>128</v>
      </c>
      <c r="E122" s="205">
        <v>12</v>
      </c>
      <c r="F122" s="88">
        <f>L122+R122+X4124+AD122+X122</f>
        <v>0</v>
      </c>
      <c r="G122" s="85"/>
      <c r="H122" s="19"/>
      <c r="I122" s="11"/>
      <c r="J122" s="3"/>
      <c r="K122" s="11"/>
      <c r="L122" s="88"/>
      <c r="M122" s="78"/>
      <c r="N122" s="259"/>
      <c r="O122" s="267"/>
      <c r="P122" s="260"/>
      <c r="Q122" s="261" t="str">
        <f t="shared" si="26"/>
        <v/>
      </c>
      <c r="R122" s="89"/>
      <c r="S122" s="85"/>
      <c r="T122" s="19"/>
      <c r="U122" s="11"/>
      <c r="V122" s="3"/>
      <c r="W122" s="305"/>
      <c r="X122" s="88"/>
      <c r="Y122" s="78"/>
      <c r="Z122" s="19"/>
      <c r="AA122" s="11"/>
      <c r="AB122" s="3"/>
      <c r="AC122" s="11"/>
      <c r="AD122" s="88"/>
      <c r="AE122" s="78"/>
    </row>
    <row r="123" spans="1:31" ht="16.5" thickBot="1">
      <c r="A123" s="202" t="s">
        <v>228</v>
      </c>
      <c r="B123" s="202" t="s">
        <v>229</v>
      </c>
      <c r="C123" s="202" t="s">
        <v>230</v>
      </c>
      <c r="D123" s="202" t="s">
        <v>250</v>
      </c>
      <c r="F123" s="90">
        <f>L123+R123+X123+AD123</f>
        <v>0</v>
      </c>
      <c r="G123" s="86"/>
      <c r="H123" s="19"/>
      <c r="I123" s="11"/>
      <c r="J123" s="3"/>
      <c r="K123" s="11"/>
      <c r="L123" s="90"/>
      <c r="M123" s="86"/>
      <c r="N123" s="259"/>
      <c r="O123" s="267"/>
      <c r="P123" s="260"/>
      <c r="Q123" s="261" t="str">
        <f t="shared" si="26"/>
        <v/>
      </c>
      <c r="R123" s="90"/>
      <c r="S123" s="86"/>
      <c r="T123" s="271">
        <f>(6.5+7+6+6.5+6.5+6+6.5+7.5+7*2+7*2+7*2)*100/140</f>
        <v>67.5</v>
      </c>
      <c r="U123" s="271">
        <f>0.7*50+0.65*10+0.6*20+0.5*20</f>
        <v>63.5</v>
      </c>
      <c r="V123" s="271">
        <f>0.7*30+0.7*30+0.65*20+0.5*20</f>
        <v>65</v>
      </c>
      <c r="W123" s="305" cm="1">
        <f t="array" ref="W123">_xlfn.IFS(T123&gt;"A","",U123&gt;"A","",V123&gt;"A","",TRUE,AVERAGE(T123:V123))</f>
        <v>65.333333333333329</v>
      </c>
      <c r="X123" s="90"/>
      <c r="Y123" s="86" t="s">
        <v>31</v>
      </c>
      <c r="Z123" s="19"/>
      <c r="AA123" s="11"/>
      <c r="AB123" s="3"/>
      <c r="AC123" s="11"/>
      <c r="AD123" s="90"/>
      <c r="AE123" s="86"/>
    </row>
  </sheetData>
  <protectedRanges>
    <protectedRange algorithmName="SHA-512" hashValue="NAZD3qgxdrlzabacLBE6e7h5ZmXY7wxINVLTXmDWPfUES+YR2V1HNj/E15OhYFiJLVmWPKJ0egYjXUfTOKONZg==" saltValue="Ncxfyc7xk9aUc4+aZopcog==" spinCount="100000" sqref="I95:S95 H94:H95 T94:Y95 N94:S94 A93:G105 A60:E60 A11:D26 A124:Y126 D86 A46:F49 F85:G86 F88:G88 E45 E89:G89 A128:Y129 E127:Y127 E106:G106 E61 A131:Y1048576 E130:Y130 A6:V7 Z124:XFD1048576 A68:G70 Z68:XFD107 AF65:XFD67 E64:XFD64 Q65 H96:Y98 Z114:XFD122 A115:Y117 E123:S123 A1:G5 J1:Y5 H3:I5 H1 I1:I2 A50:XFD54 M28:Y29 E22:Y26 A39:XFD40 E58 H68:Y71 E114:Y114 F118:Y120 D27:S27 A31:Y38 M30:S30 G43:XFD43 G45:XFD49 E56 A62:E62 X62:XFD62 A75:Y84 E71:G74 H72:S74 X72:Y74 H86:Y86 H85:S85 X85:Y85 E91:S92 H93:Y93 H88:Y90 E87:S87 X87:Y87 X91:Y92 A108:S108 F107:S107 X107:Y107 H100:Y106 H99:S99 X99:Y99 X108:XFD111 E122:Y122 F121:S121 X121:Y121 X123:XFD123 X57:XFD57 X55:XFD55 X44:XFD44 X41:XFD42 X30:Y30 W27:Y27 AE2:AG3 AH1:XFD38 AB1:AG1 AB4:AG38 Z1:AA38 AB3:AC3 W6:Y21 G41:S42 G44:S44 G57:S57 E55:S55 F90:G90 E109:S111 E112:XFD113 E8:V21 E29:E30 F28:L30 F41:F45 E63 G63:XFD63 G58:XFD61 G56:XFD56 G62:S62 F56:F63" name="Range1"/>
    <protectedRange algorithmName="SHA-512" hashValue="Apnk9LEbYxRpSZcjU97H6doUg/5csDURqMcDtbiOpYdX3f6l5Yvzsxaqv13NMtippi1Z0/Pw9Etvtktb0idoXQ==" saltValue="0XBid9/n7HrDOp1hu6OxVA==" spinCount="100000" sqref="A85:D85 C109" name="Range1_1"/>
    <protectedRange algorithmName="SHA-512" hashValue="Apnk9LEbYxRpSZcjU97H6doUg/5csDURqMcDtbiOpYdX3f6l5Yvzsxaqv13NMtippi1Z0/Pw9Etvtktb0idoXQ==" saltValue="0XBid9/n7HrDOp1hu6OxVA==" spinCount="100000" sqref="A71:B71 D71" name="Range1_2"/>
    <protectedRange algorithmName="SHA-512" hashValue="Apnk9LEbYxRpSZcjU97H6doUg/5csDURqMcDtbiOpYdX3f6l5Yvzsxaqv13NMtippi1Z0/Pw9Etvtktb0idoXQ==" saltValue="0XBid9/n7HrDOp1hu6OxVA==" spinCount="100000" sqref="C71" name="Range1_1_1"/>
    <protectedRange algorithmName="SHA-512" hashValue="NAZD3qgxdrlzabacLBE6e7h5ZmXY7wxINVLTXmDWPfUES+YR2V1HNj/E15OhYFiJLVmWPKJ0egYjXUfTOKONZg==" saltValue="Ncxfyc7xk9aUc4+aZopcog==" spinCount="100000" sqref="A107:B107 D107" name="Range1_3"/>
    <protectedRange algorithmName="SHA-512" hashValue="Apnk9LEbYxRpSZcjU97H6doUg/5csDURqMcDtbiOpYdX3f6l5Yvzsxaqv13NMtippi1Z0/Pw9Etvtktb0idoXQ==" saltValue="0XBid9/n7HrDOp1hu6OxVA==" spinCount="100000" sqref="C107" name="Range1_1_1_3"/>
    <protectedRange algorithmName="SHA-512" hashValue="Apnk9LEbYxRpSZcjU97H6doUg/5csDURqMcDtbiOpYdX3f6l5Yvzsxaqv13NMtippi1Z0/Pw9Etvtktb0idoXQ==" saltValue="0XBid9/n7HrDOp1hu6OxVA==" spinCount="100000" sqref="A55:D55" name="Range1_4"/>
    <protectedRange algorithmName="SHA-512" hashValue="NAZD3qgxdrlzabacLBE6e7h5ZmXY7wxINVLTXmDWPfUES+YR2V1HNj/E15OhYFiJLVmWPKJ0egYjXUfTOKONZg==" saltValue="Ncxfyc7xk9aUc4+aZopcog==" spinCount="100000" sqref="A8:D8 A27:C27" name="Range1_5"/>
    <protectedRange algorithmName="SHA-512" hashValue="Apnk9LEbYxRpSZcjU97H6doUg/5csDURqMcDtbiOpYdX3f6l5Yvzsxaqv13NMtippi1Z0/Pw9Etvtktb0idoXQ==" saltValue="0XBid9/n7HrDOp1hu6OxVA==" spinCount="100000" sqref="A56:D56" name="Range1_6"/>
    <protectedRange algorithmName="SHA-512" hashValue="Apnk9LEbYxRpSZcjU97H6doUg/5csDURqMcDtbiOpYdX3f6l5Yvzsxaqv13NMtippi1Z0/Pw9Etvtktb0idoXQ==" saltValue="0XBid9/n7HrDOp1hu6OxVA==" spinCount="100000" sqref="A41:D41" name="Range1_8"/>
    <protectedRange algorithmName="SHA-512" hashValue="Apnk9LEbYxRpSZcjU97H6doUg/5csDURqMcDtbiOpYdX3f6l5Yvzsxaqv13NMtippi1Z0/Pw9Etvtktb0idoXQ==" saltValue="0XBid9/n7HrDOp1hu6OxVA==" spinCount="100000" sqref="A42:D42" name="Range1_9"/>
    <protectedRange algorithmName="SHA-512" hashValue="Apnk9LEbYxRpSZcjU97H6doUg/5csDURqMcDtbiOpYdX3f6l5Yvzsxaqv13NMtippi1Z0/Pw9Etvtktb0idoXQ==" saltValue="0XBid9/n7HrDOp1hu6OxVA==" spinCount="100000" sqref="A57:D57 A86:C86" name="Range1_10"/>
    <protectedRange algorithmName="SHA-512" hashValue="Apnk9LEbYxRpSZcjU97H6doUg/5csDURqMcDtbiOpYdX3f6l5Yvzsxaqv13NMtippi1Z0/Pw9Etvtktb0idoXQ==" saltValue="0XBid9/n7HrDOp1hu6OxVA==" spinCount="100000" sqref="A43:B43 D43" name="Range1_11"/>
    <protectedRange algorithmName="SHA-512" hashValue="Apnk9LEbYxRpSZcjU97H6doUg/5csDURqMcDtbiOpYdX3f6l5Yvzsxaqv13NMtippi1Z0/Pw9Etvtktb0idoXQ==" saltValue="0XBid9/n7HrDOp1hu6OxVA==" spinCount="100000" sqref="C43" name="Range1_10_1"/>
    <protectedRange algorithmName="SHA-512" hashValue="Apnk9LEbYxRpSZcjU97H6doUg/5csDURqMcDtbiOpYdX3f6l5Yvzsxaqv13NMtippi1Z0/Pw9Etvtktb0idoXQ==" saltValue="0XBid9/n7HrDOp1hu6OxVA==" spinCount="100000" sqref="E41" name="Range1_7"/>
    <protectedRange algorithmName="SHA-512" hashValue="gd6M1j8R2Vcbfm85n99c1D0xjmQvjBlg34UZhxeJx1NLSFqB74OeW1e3isf5ACnAc8NEYyF7OwgEUMDCcurwNA==" saltValue="t3zYNUJUDTdmjGFelNhf8w==" spinCount="100000" sqref="E85" name="Range1_12"/>
    <protectedRange algorithmName="SHA-512" hashValue="NAZD3qgxdrlzabacLBE6e7h5ZmXY7wxINVLTXmDWPfUES+YR2V1HNj/E15OhYFiJLVmWPKJ0egYjXUfTOKONZg==" saltValue="Ncxfyc7xk9aUc4+aZopcog==" spinCount="100000" sqref="E107" name="Range1_13"/>
    <protectedRange algorithmName="SHA-512" hashValue="gd6M1j8R2Vcbfm85n99c1D0xjmQvjBlg34UZhxeJx1NLSFqB74OeW1e3isf5ACnAc8NEYyF7OwgEUMDCcurwNA==" saltValue="t3zYNUJUDTdmjGFelNhf8w==" spinCount="100000" sqref="E118:E121" name="Range1_14"/>
    <protectedRange algorithmName="SHA-512" hashValue="Apnk9LEbYxRpSZcjU97H6doUg/5csDURqMcDtbiOpYdX3f6l5Yvzsxaqv13NMtippi1Z0/Pw9Etvtktb0idoXQ==" saltValue="0XBid9/n7HrDOp1hu6OxVA==" spinCount="100000" sqref="E42" name="Range1_15"/>
    <protectedRange algorithmName="SHA-512" hashValue="Apnk9LEbYxRpSZcjU97H6doUg/5csDURqMcDtbiOpYdX3f6l5Yvzsxaqv13NMtippi1Z0/Pw9Etvtktb0idoXQ==" saltValue="0XBid9/n7HrDOp1hu6OxVA==" spinCount="100000" sqref="E43" name="Range1_16"/>
    <protectedRange algorithmName="SHA-512" hashValue="gd6M1j8R2Vcbfm85n99c1D0xjmQvjBlg34UZhxeJx1NLSFqB74OeW1e3isf5ACnAc8NEYyF7OwgEUMDCcurwNA==" saltValue="t3zYNUJUDTdmjGFelNhf8w==" spinCount="100000" sqref="E57" name="Range1_17"/>
    <protectedRange algorithmName="SHA-512" hashValue="gd6M1j8R2Vcbfm85n99c1D0xjmQvjBlg34UZhxeJx1NLSFqB74OeW1e3isf5ACnAc8NEYyF7OwgEUMDCcurwNA==" saltValue="t3zYNUJUDTdmjGFelNhf8w==" spinCount="100000" sqref="E86" name="Range1_18"/>
    <protectedRange algorithmName="SHA-512" hashValue="gd6M1j8R2Vcbfm85n99c1D0xjmQvjBlg34UZhxeJx1NLSFqB74OeW1e3isf5ACnAc8NEYyF7OwgEUMDCcurwNA==" saltValue="t3zYNUJUDTdmjGFelNhf8w==" spinCount="100000" sqref="E44" name="Range1_19"/>
    <protectedRange algorithmName="SHA-512" hashValue="NAZD3qgxdrlzabacLBE6e7h5ZmXY7wxINVLTXmDWPfUES+YR2V1HNj/E15OhYFiJLVmWPKJ0egYjXUfTOKONZg==" saltValue="Ncxfyc7xk9aUc4+aZopcog==" spinCount="100000" sqref="D109" name="Range1_20"/>
    <protectedRange algorithmName="SHA-512" hashValue="Apnk9LEbYxRpSZcjU97H6doUg/5csDURqMcDtbiOpYdX3f6l5Yvzsxaqv13NMtippi1Z0/Pw9Etvtktb0idoXQ==" saltValue="0XBid9/n7HrDOp1hu6OxVA==" spinCount="100000" sqref="A109:B109" name="Range1_15_1"/>
    <protectedRange algorithmName="SHA-512" hashValue="Apnk9LEbYxRpSZcjU97H6doUg/5csDURqMcDtbiOpYdX3f6l5Yvzsxaqv13NMtippi1Z0/Pw9Etvtktb0idoXQ==" saltValue="0XBid9/n7HrDOp1hu6OxVA==" spinCount="100000" sqref="E88 A87:D87" name="Range1_21"/>
    <protectedRange algorithmName="SHA-512" hashValue="gd6M1j8R2Vcbfm85n99c1D0xjmQvjBlg34UZhxeJx1NLSFqB74OeW1e3isf5ACnAc8NEYyF7OwgEUMDCcurwNA==" saltValue="t3zYNUJUDTdmjGFelNhf8w==" spinCount="100000" sqref="A28:E28" name="Range1_22"/>
    <protectedRange algorithmName="SHA-512" hashValue="Apnk9LEbYxRpSZcjU97H6doUg/5csDURqMcDtbiOpYdX3f6l5Yvzsxaqv13NMtippi1Z0/Pw9Etvtktb0idoXQ==" saltValue="0XBid9/n7HrDOp1hu6OxVA==" spinCount="100000" sqref="A58:D58" name="Range1_23"/>
    <protectedRange algorithmName="SHA-512" hashValue="Apnk9LEbYxRpSZcjU97H6doUg/5csDURqMcDtbiOpYdX3f6l5Yvzsxaqv13NMtippi1Z0/Pw9Etvtktb0idoXQ==" saltValue="0XBid9/n7HrDOp1hu6OxVA==" spinCount="100000" sqref="A44:D44" name="Range1_25"/>
    <protectedRange algorithmName="SHA-512" hashValue="Apnk9LEbYxRpSZcjU97H6doUg/5csDURqMcDtbiOpYdX3f6l5Yvzsxaqv13NMtippi1Z0/Pw9Etvtktb0idoXQ==" saltValue="0XBid9/n7HrDOp1hu6OxVA==" spinCount="100000" sqref="A9:C9" name="Range1_26"/>
    <protectedRange algorithmName="SHA-512" hashValue="Apnk9LEbYxRpSZcjU97H6doUg/5csDURqMcDtbiOpYdX3f6l5Yvzsxaqv13NMtippi1Z0/Pw9Etvtktb0idoXQ==" saltValue="0XBid9/n7HrDOp1hu6OxVA==" spinCount="100000" sqref="A90:E90 A89:D89" name="Range1_44"/>
    <protectedRange algorithmName="SHA-512" hashValue="Apnk9LEbYxRpSZcjU97H6doUg/5csDURqMcDtbiOpYdX3f6l5Yvzsxaqv13NMtippi1Z0/Pw9Etvtktb0idoXQ==" saltValue="0XBid9/n7HrDOp1hu6OxVA==" spinCount="100000" sqref="A59:E59" name="Range1_44_1"/>
    <protectedRange algorithmName="SHA-512" hashValue="Apnk9LEbYxRpSZcjU97H6doUg/5csDURqMcDtbiOpYdX3f6l5Yvzsxaqv13NMtippi1Z0/Pw9Etvtktb0idoXQ==" saltValue="0XBid9/n7HrDOp1hu6OxVA==" spinCount="100000" sqref="A106:D106" name="Range1_28"/>
    <protectedRange algorithmName="SHA-512" hashValue="Apnk9LEbYxRpSZcjU97H6doUg/5csDURqMcDtbiOpYdX3f6l5Yvzsxaqv13NMtippi1Z0/Pw9Etvtktb0idoXQ==" saltValue="0XBid9/n7HrDOp1hu6OxVA==" spinCount="100000" sqref="A29:D29" name="Range1_54"/>
    <protectedRange algorithmName="SHA-512" hashValue="Apnk9LEbYxRpSZcjU97H6doUg/5csDURqMcDtbiOpYdX3f6l5Yvzsxaqv13NMtippi1Z0/Pw9Etvtktb0idoXQ==" saltValue="0XBid9/n7HrDOp1hu6OxVA==" spinCount="100000" sqref="A119:D119" name="Range1_29"/>
    <protectedRange algorithmName="SHA-512" hashValue="Apnk9LEbYxRpSZcjU97H6doUg/5csDURqMcDtbiOpYdX3f6l5Yvzsxaqv13NMtippi1Z0/Pw9Etvtktb0idoXQ==" saltValue="0XBid9/n7HrDOp1hu6OxVA==" spinCount="100000" sqref="A91:D91" name="Range1_30"/>
    <protectedRange algorithmName="SHA-512" hashValue="gd6M1j8R2Vcbfm85n99c1D0xjmQvjBlg34UZhxeJx1NLSFqB74OeW1e3isf5ACnAc8NEYyF7OwgEUMDCcurwNA==" saltValue="t3zYNUJUDTdmjGFelNhf8w==" spinCount="100000" sqref="A122:D123" name="Range1_27"/>
    <protectedRange algorithmName="SHA-512" hashValue="Apnk9LEbYxRpSZcjU97H6doUg/5csDURqMcDtbiOpYdX3f6l5Yvzsxaqv13NMtippi1Z0/Pw9Etvtktb0idoXQ==" saltValue="0XBid9/n7HrDOp1hu6OxVA==" spinCount="100000" sqref="A61:D61 A74:D74" name="Range1_64"/>
    <protectedRange algorithmName="SHA-512" hashValue="Apnk9LEbYxRpSZcjU97H6doUg/5csDURqMcDtbiOpYdX3f6l5Yvzsxaqv13NMtippi1Z0/Pw9Etvtktb0idoXQ==" saltValue="0XBid9/n7HrDOp1hu6OxVA==" spinCount="100000" sqref="C121" name="Range1_67"/>
    <protectedRange algorithmName="SHA-512" hashValue="gd6M1j8R2Vcbfm85n99c1D0xjmQvjBlg34UZhxeJx1NLSFqB74OeW1e3isf5ACnAc8NEYyF7OwgEUMDCcurwNA==" saltValue="t3zYNUJUDTdmjGFelNhf8w==" spinCount="100000" sqref="A121:B121 D121" name="Range1_32_1"/>
    <protectedRange algorithmName="SHA-512" hashValue="Apnk9LEbYxRpSZcjU97H6doUg/5csDURqMcDtbiOpYdX3f6l5Yvzsxaqv13NMtippi1Z0/Pw9Etvtktb0idoXQ==" saltValue="0XBid9/n7HrDOp1hu6OxVA==" spinCount="100000" sqref="A10:D10" name="Range1_24_1"/>
    <protectedRange algorithmName="SHA-512" hashValue="Apnk9LEbYxRpSZcjU97H6doUg/5csDURqMcDtbiOpYdX3f6l5Yvzsxaqv13NMtippi1Z0/Pw9Etvtktb0idoXQ==" saltValue="0XBid9/n7HrDOp1hu6OxVA==" spinCount="100000" sqref="C72:C73" name="Range1_68"/>
    <protectedRange algorithmName="SHA-512" hashValue="Apnk9LEbYxRpSZcjU97H6doUg/5csDURqMcDtbiOpYdX3f6l5Yvzsxaqv13NMtippi1Z0/Pw9Etvtktb0idoXQ==" saltValue="0XBid9/n7HrDOp1hu6OxVA==" spinCount="100000" sqref="D9" name="Range1_60"/>
    <protectedRange algorithmName="SHA-512" hashValue="Apnk9LEbYxRpSZcjU97H6doUg/5csDURqMcDtbiOpYdX3f6l5Yvzsxaqv13NMtippi1Z0/Pw9Etvtktb0idoXQ==" saltValue="0XBid9/n7HrDOp1hu6OxVA==" spinCount="100000" sqref="D63" name="Range1_24"/>
    <protectedRange algorithmName="SHA-512" hashValue="Apnk9LEbYxRpSZcjU97H6doUg/5csDURqMcDtbiOpYdX3f6l5Yvzsxaqv13NMtippi1Z0/Pw9Etvtktb0idoXQ==" saltValue="0XBid9/n7HrDOp1hu6OxVA==" spinCount="100000" sqref="D64:D67 E66:AE67 E65:P65 R65:AE65" name="Range1_31"/>
    <protectedRange algorithmName="SHA-512" hashValue="Apnk9LEbYxRpSZcjU97H6doUg/5csDURqMcDtbiOpYdX3f6l5Yvzsxaqv13NMtippi1Z0/Pw9Etvtktb0idoXQ==" saltValue="0XBid9/n7HrDOp1hu6OxVA==" spinCount="100000" sqref="A110:D110 A112:D113" name="Range1_59"/>
    <protectedRange algorithmName="SHA-512" hashValue="Apnk9LEbYxRpSZcjU97H6doUg/5csDURqMcDtbiOpYdX3f6l5Yvzsxaqv13NMtippi1Z0/Pw9Etvtktb0idoXQ==" saltValue="0XBid9/n7HrDOp1hu6OxVA==" spinCount="100000" sqref="A111:D111" name="Range1_59_1"/>
    <protectedRange algorithmName="SHA-512" hashValue="gd6M1j8R2Vcbfm85n99c1D0xjmQvjBlg34UZhxeJx1NLSFqB74OeW1e3isf5ACnAc8NEYyF7OwgEUMDCcurwNA==" saltValue="t3zYNUJUDTdmjGFelNhf8w==" spinCount="100000" sqref="T27:V27" name="Range1_32"/>
    <protectedRange algorithmName="SHA-512" hashValue="gd6M1j8R2Vcbfm85n99c1D0xjmQvjBlg34UZhxeJx1NLSFqB74OeW1e3isf5ACnAc8NEYyF7OwgEUMDCcurwNA==" saltValue="t3zYNUJUDTdmjGFelNhf8w==" spinCount="100000" sqref="T30:W30" name="Range1_35"/>
    <protectedRange algorithmName="SHA-512" hashValue="gd6M1j8R2Vcbfm85n99c1D0xjmQvjBlg34UZhxeJx1NLSFqB74OeW1e3isf5ACnAc8NEYyF7OwgEUMDCcurwNA==" saltValue="t3zYNUJUDTdmjGFelNhf8w==" spinCount="100000" sqref="T41:W41" name="Range1_37"/>
    <protectedRange algorithmName="SHA-512" hashValue="gd6M1j8R2Vcbfm85n99c1D0xjmQvjBlg34UZhxeJx1NLSFqB74OeW1e3isf5ACnAc8NEYyF7OwgEUMDCcurwNA==" saltValue="t3zYNUJUDTdmjGFelNhf8w==" spinCount="100000" sqref="T42:W42" name="Range1_39"/>
    <protectedRange algorithmName="SHA-512" hashValue="gd6M1j8R2Vcbfm85n99c1D0xjmQvjBlg34UZhxeJx1NLSFqB74OeW1e3isf5ACnAc8NEYyF7OwgEUMDCcurwNA==" saltValue="t3zYNUJUDTdmjGFelNhf8w==" spinCount="100000" sqref="T44:W44" name="Range1_41"/>
    <protectedRange algorithmName="SHA-512" hashValue="gd6M1j8R2Vcbfm85n99c1D0xjmQvjBlg34UZhxeJx1NLSFqB74OeW1e3isf5ACnAc8NEYyF7OwgEUMDCcurwNA==" saltValue="t3zYNUJUDTdmjGFelNhf8w==" spinCount="100000" sqref="T55:W55" name="Range1_43"/>
    <protectedRange algorithmName="SHA-512" hashValue="gd6M1j8R2Vcbfm85n99c1D0xjmQvjBlg34UZhxeJx1NLSFqB74OeW1e3isf5ACnAc8NEYyF7OwgEUMDCcurwNA==" saltValue="t3zYNUJUDTdmjGFelNhf8w==" spinCount="100000" sqref="T57:W57" name="Range1_46"/>
    <protectedRange algorithmName="SHA-512" hashValue="gd6M1j8R2Vcbfm85n99c1D0xjmQvjBlg34UZhxeJx1NLSFqB74OeW1e3isf5ACnAc8NEYyF7OwgEUMDCcurwNA==" saltValue="t3zYNUJUDTdmjGFelNhf8w==" spinCount="100000" sqref="T62:W62" name="Range1_48"/>
    <protectedRange algorithmName="SHA-512" hashValue="gd6M1j8R2Vcbfm85n99c1D0xjmQvjBlg34UZhxeJx1NLSFqB74OeW1e3isf5ACnAc8NEYyF7OwgEUMDCcurwNA==" saltValue="t3zYNUJUDTdmjGFelNhf8w==" spinCount="100000" sqref="T72:W72" name="Range1_50"/>
    <protectedRange algorithmName="SHA-512" hashValue="gd6M1j8R2Vcbfm85n99c1D0xjmQvjBlg34UZhxeJx1NLSFqB74OeW1e3isf5ACnAc8NEYyF7OwgEUMDCcurwNA==" saltValue="t3zYNUJUDTdmjGFelNhf8w==" spinCount="100000" sqref="T73:W73" name="Range1_55"/>
    <protectedRange algorithmName="SHA-512" hashValue="gd6M1j8R2Vcbfm85n99c1D0xjmQvjBlg34UZhxeJx1NLSFqB74OeW1e3isf5ACnAc8NEYyF7OwgEUMDCcurwNA==" saltValue="t3zYNUJUDTdmjGFelNhf8w==" spinCount="100000" sqref="T74:W74" name="Range1_57"/>
    <protectedRange algorithmName="SHA-512" hashValue="gd6M1j8R2Vcbfm85n99c1D0xjmQvjBlg34UZhxeJx1NLSFqB74OeW1e3isf5ACnAc8NEYyF7OwgEUMDCcurwNA==" saltValue="t3zYNUJUDTdmjGFelNhf8w==" spinCount="100000" sqref="T85:W85" name="Range1_61"/>
    <protectedRange algorithmName="SHA-512" hashValue="gd6M1j8R2Vcbfm85n99c1D0xjmQvjBlg34UZhxeJx1NLSFqB74OeW1e3isf5ACnAc8NEYyF7OwgEUMDCcurwNA==" saltValue="t3zYNUJUDTdmjGFelNhf8w==" spinCount="100000" sqref="A92:B92" name="Range1_62"/>
    <protectedRange algorithmName="SHA-512" hashValue="gd6M1j8R2Vcbfm85n99c1D0xjmQvjBlg34UZhxeJx1NLSFqB74OeW1e3isf5ACnAc8NEYyF7OwgEUMDCcurwNA==" saltValue="t3zYNUJUDTdmjGFelNhf8w==" spinCount="100000" sqref="C92:D92" name="Range1_63"/>
    <protectedRange algorithmName="SHA-512" hashValue="gd6M1j8R2Vcbfm85n99c1D0xjmQvjBlg34UZhxeJx1NLSFqB74OeW1e3isf5ACnAc8NEYyF7OwgEUMDCcurwNA==" saltValue="t3zYNUJUDTdmjGFelNhf8w==" spinCount="100000" sqref="T92:W92" name="Range1_66"/>
    <protectedRange algorithmName="SHA-512" hashValue="gd6M1j8R2Vcbfm85n99c1D0xjmQvjBlg34UZhxeJx1NLSFqB74OeW1e3isf5ACnAc8NEYyF7OwgEUMDCcurwNA==" saltValue="t3zYNUJUDTdmjGFelNhf8w==" spinCount="100000" sqref="T87:W87" name="Range1_70"/>
    <protectedRange algorithmName="SHA-512" hashValue="gd6M1j8R2Vcbfm85n99c1D0xjmQvjBlg34UZhxeJx1NLSFqB74OeW1e3isf5ACnAc8NEYyF7OwgEUMDCcurwNA==" saltValue="t3zYNUJUDTdmjGFelNhf8w==" spinCount="100000" sqref="T91:W91" name="Range1_72"/>
    <protectedRange algorithmName="SHA-512" hashValue="gd6M1j8R2Vcbfm85n99c1D0xjmQvjBlg34UZhxeJx1NLSFqB74OeW1e3isf5ACnAc8NEYyF7OwgEUMDCcurwNA==" saltValue="t3zYNUJUDTdmjGFelNhf8w==" spinCount="100000" sqref="T99:W99" name="Range1_74"/>
    <protectedRange algorithmName="SHA-512" hashValue="gd6M1j8R2Vcbfm85n99c1D0xjmQvjBlg34UZhxeJx1NLSFqB74OeW1e3isf5ACnAc8NEYyF7OwgEUMDCcurwNA==" saltValue="t3zYNUJUDTdmjGFelNhf8w==" spinCount="100000" sqref="T107:W107" name="Range1_76"/>
    <protectedRange algorithmName="SHA-512" hashValue="gd6M1j8R2Vcbfm85n99c1D0xjmQvjBlg34UZhxeJx1NLSFqB74OeW1e3isf5ACnAc8NEYyF7OwgEUMDCcurwNA==" saltValue="t3zYNUJUDTdmjGFelNhf8w==" spinCount="100000" sqref="T109:W109" name="Range1_78"/>
    <protectedRange algorithmName="SHA-512" hashValue="gd6M1j8R2Vcbfm85n99c1D0xjmQvjBlg34UZhxeJx1NLSFqB74OeW1e3isf5ACnAc8NEYyF7OwgEUMDCcurwNA==" saltValue="t3zYNUJUDTdmjGFelNhf8w==" spinCount="100000" sqref="T111:W111" name="Range1_80"/>
    <protectedRange algorithmName="SHA-512" hashValue="gd6M1j8R2Vcbfm85n99c1D0xjmQvjBlg34UZhxeJx1NLSFqB74OeW1e3isf5ACnAc8NEYyF7OwgEUMDCcurwNA==" saltValue="t3zYNUJUDTdmjGFelNhf8w==" spinCount="100000" sqref="T110:W110" name="Range1_82"/>
    <protectedRange algorithmName="SHA-512" hashValue="gd6M1j8R2Vcbfm85n99c1D0xjmQvjBlg34UZhxeJx1NLSFqB74OeW1e3isf5ACnAc8NEYyF7OwgEUMDCcurwNA==" saltValue="t3zYNUJUDTdmjGFelNhf8w==" spinCount="100000" sqref="T108:W108" name="Range1_84"/>
    <protectedRange algorithmName="SHA-512" hashValue="gd6M1j8R2Vcbfm85n99c1D0xjmQvjBlg34UZhxeJx1NLSFqB74OeW1e3isf5ACnAc8NEYyF7OwgEUMDCcurwNA==" saltValue="t3zYNUJUDTdmjGFelNhf8w==" spinCount="100000" sqref="T121:W121" name="Range1_86"/>
    <protectedRange algorithmName="SHA-512" hashValue="gd6M1j8R2Vcbfm85n99c1D0xjmQvjBlg34UZhxeJx1NLSFqB74OeW1e3isf5ACnAc8NEYyF7OwgEUMDCcurwNA==" saltValue="t3zYNUJUDTdmjGFelNhf8w==" spinCount="100000" sqref="T123:W123" name="Range1_88"/>
  </protectedRanges>
  <sortState xmlns:xlrd2="http://schemas.microsoft.com/office/spreadsheetml/2017/richdata2" ref="A55:AE64">
    <sortCondition ref="A55:A64"/>
  </sortState>
  <mergeCells count="46">
    <mergeCell ref="Z103:AE103"/>
    <mergeCell ref="Z115:AE115"/>
    <mergeCell ref="Z38:AE38"/>
    <mergeCell ref="Z52:AE52"/>
    <mergeCell ref="Z68:AE68"/>
    <mergeCell ref="Z82:AE82"/>
    <mergeCell ref="Z96:AE96"/>
    <mergeCell ref="A3:D3"/>
    <mergeCell ref="A6:E6"/>
    <mergeCell ref="T24:Y24"/>
    <mergeCell ref="Z5:AE5"/>
    <mergeCell ref="Z24:AE24"/>
    <mergeCell ref="A69:E69"/>
    <mergeCell ref="T82:Y82"/>
    <mergeCell ref="A25:E25"/>
    <mergeCell ref="T38:Y38"/>
    <mergeCell ref="A39:E39"/>
    <mergeCell ref="T52:Y52"/>
    <mergeCell ref="H38:M38"/>
    <mergeCell ref="N38:S38"/>
    <mergeCell ref="A104:E104"/>
    <mergeCell ref="T115:Y115"/>
    <mergeCell ref="A116:E116"/>
    <mergeCell ref="H5:M5"/>
    <mergeCell ref="N5:S5"/>
    <mergeCell ref="T5:Y5"/>
    <mergeCell ref="H24:M24"/>
    <mergeCell ref="N24:S24"/>
    <mergeCell ref="A83:E83"/>
    <mergeCell ref="T96:Y96"/>
    <mergeCell ref="A97:E97"/>
    <mergeCell ref="T103:Y103"/>
    <mergeCell ref="H96:M96"/>
    <mergeCell ref="N96:S96"/>
    <mergeCell ref="A53:E53"/>
    <mergeCell ref="T68:Y68"/>
    <mergeCell ref="H103:M103"/>
    <mergeCell ref="N103:S103"/>
    <mergeCell ref="H115:M115"/>
    <mergeCell ref="N115:S115"/>
    <mergeCell ref="H52:M52"/>
    <mergeCell ref="N52:S52"/>
    <mergeCell ref="H68:M68"/>
    <mergeCell ref="N68:S68"/>
    <mergeCell ref="H82:M82"/>
    <mergeCell ref="N82:S8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C28BC-60CB-CD4A-99D4-49618A28FF21}">
  <dimension ref="A3:AM71"/>
  <sheetViews>
    <sheetView zoomScale="60" zoomScaleNormal="70" workbookViewId="0">
      <pane xSplit="7" ySplit="6" topLeftCell="N30" activePane="bottomRight" state="frozen"/>
      <selection pane="topRight" activeCell="H1" sqref="H1"/>
      <selection pane="bottomLeft" activeCell="A7" sqref="A7"/>
      <selection pane="bottomRight" activeCell="N36" sqref="N36"/>
    </sheetView>
  </sheetViews>
  <sheetFormatPr defaultColWidth="11.25" defaultRowHeight="15.75" outlineLevelCol="1"/>
  <cols>
    <col min="1" max="1" width="15.75" customWidth="1"/>
    <col min="2" max="2" width="15" customWidth="1"/>
    <col min="3" max="3" width="25" customWidth="1"/>
    <col min="4" max="4" width="31.125" customWidth="1"/>
    <col min="5" max="5" width="6.25" hidden="1" customWidth="1"/>
    <col min="6" max="7" width="13.25" customWidth="1"/>
    <col min="8" max="8" width="15.25" customWidth="1" outlineLevel="1"/>
    <col min="9" max="9" width="14" customWidth="1" outlineLevel="1"/>
    <col min="10" max="13" width="11.25" customWidth="1" outlineLevel="1"/>
    <col min="16" max="23" width="0" hidden="1" customWidth="1"/>
    <col min="24" max="29" width="11.25" customWidth="1" outlineLevel="1"/>
    <col min="32" max="37" width="11.25" customWidth="1" outlineLevel="1"/>
  </cols>
  <sheetData>
    <row r="3" spans="1:39" ht="28.5">
      <c r="A3" s="413" t="s">
        <v>251</v>
      </c>
      <c r="B3" s="438"/>
      <c r="C3" s="438"/>
      <c r="D3" s="438"/>
      <c r="E3" s="169"/>
    </row>
    <row r="4" spans="1:39" ht="16.5" thickBot="1"/>
    <row r="5" spans="1:39" ht="24" thickBot="1">
      <c r="H5" s="435" t="s">
        <v>467</v>
      </c>
      <c r="I5" s="436"/>
      <c r="J5" s="436"/>
      <c r="K5" s="436"/>
      <c r="L5" s="436"/>
      <c r="M5" s="436"/>
      <c r="N5" s="436"/>
      <c r="O5" s="437"/>
      <c r="P5" s="410" t="s">
        <v>480</v>
      </c>
      <c r="Q5" s="411"/>
      <c r="R5" s="411"/>
      <c r="S5" s="411"/>
      <c r="T5" s="411"/>
      <c r="U5" s="411"/>
      <c r="V5" s="411"/>
      <c r="W5" s="412"/>
      <c r="X5" s="390" t="s">
        <v>481</v>
      </c>
      <c r="Y5" s="391"/>
      <c r="Z5" s="391"/>
      <c r="AA5" s="391"/>
      <c r="AB5" s="391"/>
      <c r="AC5" s="391"/>
      <c r="AD5" s="391"/>
      <c r="AE5" s="430"/>
      <c r="AF5" s="431" t="s">
        <v>252</v>
      </c>
      <c r="AG5" s="432"/>
      <c r="AH5" s="432"/>
      <c r="AI5" s="432"/>
      <c r="AJ5" s="432"/>
      <c r="AK5" s="432"/>
      <c r="AL5" s="432"/>
      <c r="AM5" s="433"/>
    </row>
    <row r="6" spans="1:39" ht="47.25">
      <c r="A6" s="416" t="s">
        <v>253</v>
      </c>
      <c r="B6" s="409"/>
      <c r="C6" s="409"/>
      <c r="D6" s="409"/>
      <c r="E6" s="439"/>
      <c r="F6" s="117" t="s">
        <v>9</v>
      </c>
      <c r="G6" s="51" t="s">
        <v>10</v>
      </c>
      <c r="H6" s="175" t="s">
        <v>254</v>
      </c>
      <c r="I6" s="10" t="s">
        <v>255</v>
      </c>
      <c r="J6" s="12" t="s">
        <v>256</v>
      </c>
      <c r="K6" s="12" t="s">
        <v>257</v>
      </c>
      <c r="L6" s="24" t="s">
        <v>258</v>
      </c>
      <c r="M6" s="118" t="s">
        <v>259</v>
      </c>
      <c r="N6" s="97" t="s">
        <v>15</v>
      </c>
      <c r="O6" s="51" t="s">
        <v>16</v>
      </c>
      <c r="P6" s="176" t="s">
        <v>254</v>
      </c>
      <c r="Q6" s="114" t="s">
        <v>255</v>
      </c>
      <c r="R6" s="115" t="s">
        <v>256</v>
      </c>
      <c r="S6" s="115" t="s">
        <v>257</v>
      </c>
      <c r="T6" s="119" t="s">
        <v>258</v>
      </c>
      <c r="U6" s="120" t="s">
        <v>259</v>
      </c>
      <c r="V6" s="87" t="s">
        <v>15</v>
      </c>
      <c r="W6" s="57" t="s">
        <v>16</v>
      </c>
      <c r="X6" s="176" t="s">
        <v>254</v>
      </c>
      <c r="Y6" s="114" t="s">
        <v>255</v>
      </c>
      <c r="Z6" s="115" t="s">
        <v>256</v>
      </c>
      <c r="AA6" s="115" t="s">
        <v>257</v>
      </c>
      <c r="AB6" s="119" t="s">
        <v>258</v>
      </c>
      <c r="AC6" s="120" t="s">
        <v>259</v>
      </c>
      <c r="AD6" s="97" t="s">
        <v>15</v>
      </c>
      <c r="AE6" s="51" t="s">
        <v>16</v>
      </c>
      <c r="AF6" s="176" t="s">
        <v>254</v>
      </c>
      <c r="AG6" s="114" t="s">
        <v>255</v>
      </c>
      <c r="AH6" s="115" t="s">
        <v>256</v>
      </c>
      <c r="AI6" s="115" t="s">
        <v>257</v>
      </c>
      <c r="AJ6" s="119" t="s">
        <v>258</v>
      </c>
      <c r="AK6" s="120" t="s">
        <v>259</v>
      </c>
      <c r="AL6" s="97" t="s">
        <v>15</v>
      </c>
      <c r="AM6" s="51" t="s">
        <v>16</v>
      </c>
    </row>
    <row r="7" spans="1:39">
      <c r="A7" s="1" t="s">
        <v>22</v>
      </c>
      <c r="B7" s="1" t="s">
        <v>23</v>
      </c>
      <c r="C7" s="4" t="s">
        <v>24</v>
      </c>
      <c r="D7" s="1" t="s">
        <v>25</v>
      </c>
      <c r="E7" s="170" t="s">
        <v>26</v>
      </c>
      <c r="F7" s="107"/>
      <c r="G7" s="142"/>
      <c r="H7" s="75"/>
      <c r="I7" s="110"/>
      <c r="J7" s="110"/>
      <c r="K7" s="110"/>
      <c r="L7" s="110"/>
      <c r="M7" s="121"/>
      <c r="N7" s="107"/>
      <c r="O7" s="142"/>
      <c r="P7" s="75"/>
      <c r="Q7" s="110"/>
      <c r="R7" s="110"/>
      <c r="S7" s="110"/>
      <c r="T7" s="110"/>
      <c r="U7" s="121"/>
      <c r="V7" s="107"/>
      <c r="W7" s="142"/>
      <c r="X7" s="75"/>
      <c r="Y7" s="110"/>
      <c r="Z7" s="110"/>
      <c r="AA7" s="110"/>
      <c r="AB7" s="110"/>
      <c r="AC7" s="121"/>
      <c r="AD7" s="107"/>
      <c r="AE7" s="78" t="str">
        <f t="shared" ref="AE7:AE27" si="0">IF(AD7="","",AD7)</f>
        <v/>
      </c>
      <c r="AF7" s="75"/>
      <c r="AG7" s="110"/>
      <c r="AH7" s="110"/>
      <c r="AI7" s="110"/>
      <c r="AJ7" s="110"/>
      <c r="AK7" s="121"/>
      <c r="AL7" s="107"/>
      <c r="AM7" s="142"/>
    </row>
    <row r="8" spans="1:39">
      <c r="A8" s="204" t="s">
        <v>65</v>
      </c>
      <c r="B8" s="203" t="s">
        <v>66</v>
      </c>
      <c r="C8" s="204" t="s">
        <v>67</v>
      </c>
      <c r="D8" s="204" t="s">
        <v>68</v>
      </c>
      <c r="E8" s="216">
        <v>9</v>
      </c>
      <c r="F8" s="107">
        <f t="shared" ref="F8:F25" si="1">N8+V8+AD8+AL8</f>
        <v>0</v>
      </c>
      <c r="G8" s="142"/>
      <c r="H8" s="75"/>
      <c r="I8" s="110"/>
      <c r="J8" s="110"/>
      <c r="K8" s="110"/>
      <c r="L8" s="110"/>
      <c r="M8" s="121"/>
      <c r="N8" s="107"/>
      <c r="O8" s="142"/>
      <c r="P8" s="75"/>
      <c r="Q8" s="110"/>
      <c r="R8" s="110"/>
      <c r="S8" s="110"/>
      <c r="T8" s="110"/>
      <c r="U8" s="121"/>
      <c r="V8" s="107"/>
      <c r="W8" s="142"/>
      <c r="X8" s="75"/>
      <c r="Y8" s="110"/>
      <c r="Z8" s="110"/>
      <c r="AA8" s="110"/>
      <c r="AB8" s="110"/>
      <c r="AC8" s="121"/>
      <c r="AD8" s="107"/>
      <c r="AE8" s="78" t="str">
        <f t="shared" si="0"/>
        <v/>
      </c>
      <c r="AF8" s="75"/>
      <c r="AG8" s="110"/>
      <c r="AH8" s="110"/>
      <c r="AI8" s="110"/>
      <c r="AJ8" s="110"/>
      <c r="AK8" s="121"/>
      <c r="AL8" s="107"/>
      <c r="AM8" s="142"/>
    </row>
    <row r="9" spans="1:39">
      <c r="A9" s="221" t="s">
        <v>260</v>
      </c>
      <c r="B9" s="221" t="s">
        <v>261</v>
      </c>
      <c r="C9" s="225" t="s">
        <v>262</v>
      </c>
      <c r="D9" s="225" t="s">
        <v>263</v>
      </c>
      <c r="E9" s="217">
        <v>11</v>
      </c>
      <c r="F9" s="107">
        <f t="shared" si="1"/>
        <v>0</v>
      </c>
      <c r="G9" s="142"/>
      <c r="H9" s="75"/>
      <c r="I9" s="110"/>
      <c r="J9" s="110"/>
      <c r="K9" s="110"/>
      <c r="L9" s="110"/>
      <c r="M9" s="121"/>
      <c r="N9" s="107"/>
      <c r="O9" s="142"/>
      <c r="P9" s="75"/>
      <c r="Q9" s="110"/>
      <c r="R9" s="110"/>
      <c r="S9" s="110"/>
      <c r="T9" s="110"/>
      <c r="U9" s="121"/>
      <c r="V9" s="107"/>
      <c r="W9" s="142"/>
      <c r="X9" s="75"/>
      <c r="Y9" s="110"/>
      <c r="Z9" s="110"/>
      <c r="AA9" s="110"/>
      <c r="AB9" s="110"/>
      <c r="AC9" s="121"/>
      <c r="AD9" s="107"/>
      <c r="AE9" s="78" t="str">
        <f t="shared" si="0"/>
        <v/>
      </c>
      <c r="AF9" s="75"/>
      <c r="AG9" s="110"/>
      <c r="AH9" s="110"/>
      <c r="AI9" s="110"/>
      <c r="AJ9" s="110"/>
      <c r="AK9" s="121"/>
      <c r="AL9" s="107"/>
      <c r="AM9" s="142"/>
    </row>
    <row r="10" spans="1:39">
      <c r="A10" s="3" t="s">
        <v>264</v>
      </c>
      <c r="B10" s="3" t="s">
        <v>265</v>
      </c>
      <c r="C10" s="202" t="s">
        <v>266</v>
      </c>
      <c r="D10" s="202" t="s">
        <v>267</v>
      </c>
      <c r="E10" s="205">
        <v>12</v>
      </c>
      <c r="F10" s="107">
        <f t="shared" si="1"/>
        <v>0</v>
      </c>
      <c r="G10" s="142"/>
      <c r="H10" s="75"/>
      <c r="I10" s="110"/>
      <c r="J10" s="110"/>
      <c r="K10" s="110"/>
      <c r="L10" s="110"/>
      <c r="M10" s="121"/>
      <c r="N10" s="107"/>
      <c r="O10" s="142"/>
      <c r="P10" s="75"/>
      <c r="Q10" s="110"/>
      <c r="R10" s="110"/>
      <c r="S10" s="110"/>
      <c r="T10" s="110"/>
      <c r="U10" s="121"/>
      <c r="V10" s="107"/>
      <c r="W10" s="142"/>
      <c r="X10" s="75"/>
      <c r="Y10" s="110"/>
      <c r="Z10" s="110"/>
      <c r="AA10" s="110"/>
      <c r="AB10" s="110"/>
      <c r="AC10" s="121"/>
      <c r="AD10" s="107"/>
      <c r="AE10" s="78" t="str">
        <f t="shared" si="0"/>
        <v/>
      </c>
      <c r="AF10" s="75"/>
      <c r="AG10" s="110"/>
      <c r="AH10" s="110"/>
      <c r="AI10" s="110"/>
      <c r="AJ10" s="110"/>
      <c r="AK10" s="121"/>
      <c r="AL10" s="107"/>
      <c r="AM10" s="142"/>
    </row>
    <row r="11" spans="1:39">
      <c r="A11" s="3" t="s">
        <v>109</v>
      </c>
      <c r="B11" s="3" t="s">
        <v>110</v>
      </c>
      <c r="C11" s="202" t="s">
        <v>111</v>
      </c>
      <c r="D11" s="202" t="s">
        <v>112</v>
      </c>
      <c r="E11" s="212">
        <v>10</v>
      </c>
      <c r="F11" s="107">
        <f t="shared" si="1"/>
        <v>0</v>
      </c>
      <c r="G11" s="142"/>
      <c r="H11" s="75">
        <v>69.17</v>
      </c>
      <c r="I11" s="110">
        <v>240</v>
      </c>
      <c r="J11" s="110"/>
      <c r="K11" s="110"/>
      <c r="L11" s="110"/>
      <c r="M11" s="121" t="s">
        <v>479</v>
      </c>
      <c r="N11" s="107"/>
      <c r="O11" s="142"/>
      <c r="P11" s="75"/>
      <c r="Q11" s="110"/>
      <c r="R11" s="110"/>
      <c r="S11" s="110"/>
      <c r="T11" s="110"/>
      <c r="U11" s="121"/>
      <c r="V11" s="107"/>
      <c r="W11" s="142"/>
      <c r="X11" s="75">
        <v>75</v>
      </c>
      <c r="Y11" s="110" t="s">
        <v>268</v>
      </c>
      <c r="Z11" s="110">
        <v>0</v>
      </c>
      <c r="AA11" s="110">
        <v>8</v>
      </c>
      <c r="AB11" s="110">
        <v>0</v>
      </c>
      <c r="AC11" s="121"/>
      <c r="AD11" s="107"/>
      <c r="AE11" s="78" t="str">
        <f t="shared" si="0"/>
        <v/>
      </c>
      <c r="AF11" s="75"/>
      <c r="AG11" s="110"/>
      <c r="AH11" s="110"/>
      <c r="AI11" s="110"/>
      <c r="AJ11" s="110"/>
      <c r="AK11" s="121"/>
      <c r="AL11" s="107"/>
      <c r="AM11" s="142"/>
    </row>
    <row r="12" spans="1:39">
      <c r="A12" s="3" t="s">
        <v>74</v>
      </c>
      <c r="B12" s="3" t="s">
        <v>75</v>
      </c>
      <c r="C12" s="202" t="s">
        <v>63</v>
      </c>
      <c r="D12" s="202" t="s">
        <v>76</v>
      </c>
      <c r="E12" s="252">
        <v>8</v>
      </c>
      <c r="F12" s="107">
        <f t="shared" si="1"/>
        <v>0</v>
      </c>
      <c r="G12" s="142"/>
      <c r="H12" s="75"/>
      <c r="I12" s="110"/>
      <c r="J12" s="110"/>
      <c r="K12" s="110"/>
      <c r="L12" s="110"/>
      <c r="M12" s="121"/>
      <c r="N12" s="107"/>
      <c r="O12" s="142"/>
      <c r="P12" s="75"/>
      <c r="Q12" s="110"/>
      <c r="R12" s="110"/>
      <c r="S12" s="110"/>
      <c r="T12" s="110"/>
      <c r="U12" s="121"/>
      <c r="V12" s="107"/>
      <c r="W12" s="142"/>
      <c r="X12" s="75"/>
      <c r="Y12" s="110"/>
      <c r="Z12" s="110"/>
      <c r="AA12" s="110"/>
      <c r="AB12" s="110"/>
      <c r="AC12" s="121"/>
      <c r="AD12" s="107"/>
      <c r="AE12" s="78" t="str">
        <f t="shared" si="0"/>
        <v/>
      </c>
      <c r="AF12" s="75"/>
      <c r="AG12" s="110"/>
      <c r="AH12" s="110"/>
      <c r="AI12" s="110"/>
      <c r="AJ12" s="110"/>
      <c r="AK12" s="121"/>
      <c r="AL12" s="107"/>
      <c r="AM12" s="142"/>
    </row>
    <row r="13" spans="1:39">
      <c r="A13" s="3" t="s">
        <v>117</v>
      </c>
      <c r="B13" s="3" t="s">
        <v>118</v>
      </c>
      <c r="C13" s="202" t="s">
        <v>119</v>
      </c>
      <c r="D13" s="202" t="s">
        <v>120</v>
      </c>
      <c r="E13" s="7"/>
      <c r="F13" s="107">
        <f t="shared" si="1"/>
        <v>59</v>
      </c>
      <c r="G13" s="142">
        <f>O13+AE13</f>
        <v>39</v>
      </c>
      <c r="H13" s="75">
        <v>68.2</v>
      </c>
      <c r="I13" s="110">
        <v>0</v>
      </c>
      <c r="J13" s="110">
        <v>0</v>
      </c>
      <c r="K13" s="110">
        <v>0</v>
      </c>
      <c r="L13" s="110">
        <v>0</v>
      </c>
      <c r="M13" s="121">
        <v>0</v>
      </c>
      <c r="N13" s="107">
        <v>20</v>
      </c>
      <c r="O13" s="142">
        <f>N13</f>
        <v>20</v>
      </c>
      <c r="P13" s="75"/>
      <c r="Q13" s="110"/>
      <c r="R13" s="110"/>
      <c r="S13" s="110"/>
      <c r="T13" s="110"/>
      <c r="U13" s="121"/>
      <c r="V13" s="107"/>
      <c r="W13" s="142"/>
      <c r="X13" s="75">
        <v>69.72</v>
      </c>
      <c r="Y13" s="110">
        <v>0</v>
      </c>
      <c r="Z13" s="110">
        <v>0</v>
      </c>
      <c r="AA13" s="110">
        <v>0</v>
      </c>
      <c r="AB13" s="110">
        <v>0</v>
      </c>
      <c r="AC13" s="121" t="str">
        <f>IF(SUM(Y13:AB13)=0,"",SUM(Y13:AB13))</f>
        <v/>
      </c>
      <c r="AD13" s="107">
        <v>19</v>
      </c>
      <c r="AE13" s="78">
        <f t="shared" si="0"/>
        <v>19</v>
      </c>
      <c r="AF13" s="330">
        <f>100-29</f>
        <v>71</v>
      </c>
      <c r="AG13" s="110">
        <v>0</v>
      </c>
      <c r="AH13" s="110">
        <v>0</v>
      </c>
      <c r="AI13" s="110">
        <v>0</v>
      </c>
      <c r="AJ13" s="110">
        <v>0</v>
      </c>
      <c r="AK13" s="121">
        <v>49</v>
      </c>
      <c r="AL13" s="107">
        <v>20</v>
      </c>
      <c r="AM13" s="142">
        <v>20</v>
      </c>
    </row>
    <row r="14" spans="1:39">
      <c r="A14" s="3" t="s">
        <v>77</v>
      </c>
      <c r="B14" s="3" t="s">
        <v>78</v>
      </c>
      <c r="C14" s="202" t="s">
        <v>79</v>
      </c>
      <c r="D14" s="202" t="s">
        <v>269</v>
      </c>
      <c r="E14" s="5"/>
      <c r="F14" s="107">
        <f t="shared" si="1"/>
        <v>0</v>
      </c>
      <c r="G14" s="142"/>
      <c r="H14" s="75"/>
      <c r="I14" s="110"/>
      <c r="J14" s="110"/>
      <c r="K14" s="110"/>
      <c r="L14" s="110"/>
      <c r="M14" s="121"/>
      <c r="N14" s="107"/>
      <c r="O14" s="142"/>
      <c r="P14" s="75"/>
      <c r="Q14" s="110"/>
      <c r="R14" s="110"/>
      <c r="S14" s="110"/>
      <c r="T14" s="110"/>
      <c r="U14" s="121"/>
      <c r="V14" s="107"/>
      <c r="W14" s="142"/>
      <c r="X14" s="75"/>
      <c r="Y14" s="110"/>
      <c r="Z14" s="110"/>
      <c r="AA14" s="110"/>
      <c r="AB14" s="110"/>
      <c r="AC14" s="121" t="str">
        <f t="shared" ref="AC14:AC26" si="2">IF(SUM(Y14:AB14)=0,"",SUM(Y14:AB14))</f>
        <v/>
      </c>
      <c r="AD14" s="107"/>
      <c r="AE14" s="78" t="str">
        <f t="shared" si="0"/>
        <v/>
      </c>
      <c r="AF14" s="330"/>
      <c r="AG14" s="110"/>
      <c r="AH14" s="110"/>
      <c r="AI14" s="110"/>
      <c r="AJ14" s="110"/>
      <c r="AK14" s="121"/>
      <c r="AL14" s="107"/>
      <c r="AM14" s="142"/>
    </row>
    <row r="15" spans="1:39">
      <c r="A15" s="3" t="s">
        <v>77</v>
      </c>
      <c r="B15" s="3" t="s">
        <v>78</v>
      </c>
      <c r="C15" s="202" t="s">
        <v>79</v>
      </c>
      <c r="D15" s="3" t="s">
        <v>80</v>
      </c>
      <c r="E15" s="171"/>
      <c r="F15" s="107">
        <f t="shared" si="1"/>
        <v>54</v>
      </c>
      <c r="G15" s="142">
        <f>AM15+AE15</f>
        <v>37</v>
      </c>
      <c r="H15" s="75">
        <v>63.89</v>
      </c>
      <c r="I15" s="110">
        <v>0</v>
      </c>
      <c r="J15" s="110">
        <v>0</v>
      </c>
      <c r="K15" s="110">
        <v>0</v>
      </c>
      <c r="L15" s="110">
        <v>0</v>
      </c>
      <c r="M15" s="121">
        <v>0</v>
      </c>
      <c r="N15" s="107">
        <v>17</v>
      </c>
      <c r="O15" s="142">
        <f>N15</f>
        <v>17</v>
      </c>
      <c r="P15" s="75"/>
      <c r="Q15" s="110"/>
      <c r="R15" s="110"/>
      <c r="S15" s="110"/>
      <c r="T15" s="110"/>
      <c r="U15" s="121"/>
      <c r="V15" s="107"/>
      <c r="W15" s="142"/>
      <c r="X15" s="75">
        <v>69.44</v>
      </c>
      <c r="Y15" s="110">
        <v>0</v>
      </c>
      <c r="Z15" s="110">
        <v>0</v>
      </c>
      <c r="AA15" s="110">
        <v>0</v>
      </c>
      <c r="AB15" s="110">
        <v>0</v>
      </c>
      <c r="AC15" s="121" t="str">
        <f t="shared" si="2"/>
        <v/>
      </c>
      <c r="AD15" s="107">
        <v>18</v>
      </c>
      <c r="AE15" s="78">
        <f t="shared" si="0"/>
        <v>18</v>
      </c>
      <c r="AF15" s="330">
        <f>100-33.8</f>
        <v>66.2</v>
      </c>
      <c r="AG15" s="110">
        <v>0</v>
      </c>
      <c r="AH15" s="110">
        <v>0</v>
      </c>
      <c r="AI15" s="110">
        <v>0</v>
      </c>
      <c r="AJ15" s="110">
        <v>0</v>
      </c>
      <c r="AK15" s="121">
        <v>33.799999999999997</v>
      </c>
      <c r="AL15" s="107">
        <v>19</v>
      </c>
      <c r="AM15" s="142">
        <v>19</v>
      </c>
    </row>
    <row r="16" spans="1:39">
      <c r="A16" s="3" t="s">
        <v>121</v>
      </c>
      <c r="B16" s="3" t="s">
        <v>122</v>
      </c>
      <c r="C16" s="202" t="s">
        <v>111</v>
      </c>
      <c r="D16" s="202" t="s">
        <v>142</v>
      </c>
      <c r="E16" s="216">
        <v>12</v>
      </c>
      <c r="F16" s="107">
        <f t="shared" si="1"/>
        <v>0</v>
      </c>
      <c r="G16" s="142"/>
      <c r="H16" s="75"/>
      <c r="I16" s="110"/>
      <c r="J16" s="110"/>
      <c r="K16" s="110"/>
      <c r="L16" s="110"/>
      <c r="M16" s="121"/>
      <c r="N16" s="107"/>
      <c r="O16" s="142"/>
      <c r="P16" s="75"/>
      <c r="Q16" s="110"/>
      <c r="R16" s="110"/>
      <c r="S16" s="110"/>
      <c r="T16" s="110"/>
      <c r="U16" s="121"/>
      <c r="V16" s="107"/>
      <c r="W16" s="142"/>
      <c r="X16" s="75"/>
      <c r="Y16" s="110"/>
      <c r="Z16" s="110"/>
      <c r="AA16" s="110"/>
      <c r="AB16" s="110"/>
      <c r="AC16" s="121" t="str">
        <f t="shared" si="2"/>
        <v/>
      </c>
      <c r="AD16" s="107"/>
      <c r="AE16" s="78" t="str">
        <f t="shared" si="0"/>
        <v/>
      </c>
      <c r="AF16" s="330"/>
      <c r="AG16" s="110"/>
      <c r="AH16" s="110"/>
      <c r="AI16" s="110"/>
      <c r="AJ16" s="110"/>
      <c r="AK16" s="121"/>
      <c r="AL16" s="107"/>
      <c r="AM16" s="142"/>
    </row>
    <row r="17" spans="1:39">
      <c r="A17" t="s">
        <v>121</v>
      </c>
      <c r="B17" s="3" t="s">
        <v>122</v>
      </c>
      <c r="C17" s="205" t="s">
        <v>111</v>
      </c>
      <c r="D17" s="202" t="s">
        <v>124</v>
      </c>
      <c r="E17" s="171"/>
      <c r="F17" s="107">
        <f t="shared" si="1"/>
        <v>15</v>
      </c>
      <c r="G17" s="142"/>
      <c r="H17" s="75"/>
      <c r="I17" s="110"/>
      <c r="J17" s="110"/>
      <c r="K17" s="110"/>
      <c r="L17" s="110"/>
      <c r="M17" s="121"/>
      <c r="N17" s="107"/>
      <c r="O17" s="142"/>
      <c r="P17" s="75"/>
      <c r="Q17" s="110"/>
      <c r="R17" s="110"/>
      <c r="S17" s="110"/>
      <c r="T17" s="110"/>
      <c r="U17" s="121"/>
      <c r="V17" s="107"/>
      <c r="W17" s="142"/>
      <c r="X17" s="75"/>
      <c r="Y17" s="110"/>
      <c r="Z17" s="110"/>
      <c r="AA17" s="110"/>
      <c r="AB17" s="110"/>
      <c r="AC17" s="121" t="str">
        <f t="shared" si="2"/>
        <v/>
      </c>
      <c r="AD17" s="107"/>
      <c r="AE17" s="78" t="str">
        <f t="shared" si="0"/>
        <v/>
      </c>
      <c r="AF17" s="330">
        <f>100-34.7</f>
        <v>65.3</v>
      </c>
      <c r="AG17" s="110">
        <v>0</v>
      </c>
      <c r="AH17" s="110">
        <v>0</v>
      </c>
      <c r="AI17" s="110">
        <v>0</v>
      </c>
      <c r="AJ17" s="110">
        <v>0</v>
      </c>
      <c r="AK17" s="121">
        <v>34.700000000000003</v>
      </c>
      <c r="AL17" s="107">
        <v>15</v>
      </c>
      <c r="AM17" s="142">
        <v>15</v>
      </c>
    </row>
    <row r="18" spans="1:39">
      <c r="A18" s="3" t="s">
        <v>270</v>
      </c>
      <c r="B18" s="3" t="str">
        <f>LEFT(A18,FIND(" ",A18))</f>
        <v xml:space="preserve">Katrina </v>
      </c>
      <c r="C18" s="221" t="s">
        <v>111</v>
      </c>
      <c r="D18" s="2" t="s">
        <v>271</v>
      </c>
      <c r="E18" s="171"/>
      <c r="F18" s="107">
        <f t="shared" si="1"/>
        <v>38</v>
      </c>
      <c r="G18" s="142">
        <f>O18+AE18</f>
        <v>38</v>
      </c>
      <c r="H18" s="75">
        <v>64.86</v>
      </c>
      <c r="I18" s="110">
        <v>0</v>
      </c>
      <c r="J18" s="110">
        <v>0</v>
      </c>
      <c r="K18" s="110">
        <v>0</v>
      </c>
      <c r="L18" s="110">
        <v>0</v>
      </c>
      <c r="M18" s="121">
        <v>0</v>
      </c>
      <c r="N18" s="107">
        <v>18</v>
      </c>
      <c r="O18" s="142">
        <f>N18</f>
        <v>18</v>
      </c>
      <c r="P18" s="75"/>
      <c r="Q18" s="110"/>
      <c r="R18" s="110"/>
      <c r="S18" s="110"/>
      <c r="T18" s="110"/>
      <c r="U18" s="121"/>
      <c r="V18" s="107"/>
      <c r="W18" s="142"/>
      <c r="X18" s="75">
        <v>78.06</v>
      </c>
      <c r="Y18" s="110">
        <v>0</v>
      </c>
      <c r="Z18" s="110">
        <v>1.2</v>
      </c>
      <c r="AA18" s="110">
        <v>4</v>
      </c>
      <c r="AB18" s="110">
        <v>0</v>
      </c>
      <c r="AC18" s="121">
        <f t="shared" si="2"/>
        <v>5.2</v>
      </c>
      <c r="AD18" s="107">
        <v>20</v>
      </c>
      <c r="AE18" s="78">
        <f t="shared" si="0"/>
        <v>20</v>
      </c>
      <c r="AF18" s="330"/>
      <c r="AG18" s="110"/>
      <c r="AH18" s="110"/>
      <c r="AI18" s="110"/>
      <c r="AJ18" s="110"/>
      <c r="AK18" s="121"/>
      <c r="AL18" s="107"/>
      <c r="AM18" s="142"/>
    </row>
    <row r="19" spans="1:39">
      <c r="A19" s="3" t="s">
        <v>240</v>
      </c>
      <c r="B19" t="s">
        <v>241</v>
      </c>
      <c r="C19" s="202" t="s">
        <v>242</v>
      </c>
      <c r="D19" s="202" t="s">
        <v>272</v>
      </c>
      <c r="E19" s="171"/>
      <c r="F19" s="107">
        <f t="shared" si="1"/>
        <v>17</v>
      </c>
      <c r="G19" s="142"/>
      <c r="H19" s="75"/>
      <c r="I19" s="110"/>
      <c r="J19" s="110"/>
      <c r="K19" s="110"/>
      <c r="L19" s="110"/>
      <c r="M19" s="121"/>
      <c r="N19" s="107"/>
      <c r="O19" s="142"/>
      <c r="P19" s="75"/>
      <c r="Q19" s="110"/>
      <c r="R19" s="110"/>
      <c r="S19" s="110"/>
      <c r="T19" s="110"/>
      <c r="U19" s="121"/>
      <c r="V19" s="107"/>
      <c r="W19" s="142"/>
      <c r="X19" s="75">
        <v>61.11</v>
      </c>
      <c r="Y19" s="110">
        <v>0</v>
      </c>
      <c r="Z19" s="110">
        <v>0</v>
      </c>
      <c r="AA19" s="110">
        <v>8</v>
      </c>
      <c r="AB19" s="110">
        <v>0</v>
      </c>
      <c r="AC19" s="121">
        <f t="shared" si="2"/>
        <v>8</v>
      </c>
      <c r="AD19" s="107">
        <v>17</v>
      </c>
      <c r="AE19" s="78">
        <f t="shared" si="0"/>
        <v>17</v>
      </c>
      <c r="AF19" s="330"/>
      <c r="AG19" s="110"/>
      <c r="AH19" s="110"/>
      <c r="AI19" s="110"/>
      <c r="AJ19" s="110"/>
      <c r="AK19" s="121"/>
      <c r="AL19" s="107"/>
      <c r="AM19" s="142"/>
    </row>
    <row r="20" spans="1:39">
      <c r="A20" s="3" t="s">
        <v>87</v>
      </c>
      <c r="B20" s="3" t="s">
        <v>88</v>
      </c>
      <c r="C20" s="202" t="s">
        <v>89</v>
      </c>
      <c r="D20" s="202" t="s">
        <v>90</v>
      </c>
      <c r="E20" s="252">
        <v>7</v>
      </c>
      <c r="F20" s="107">
        <f t="shared" si="1"/>
        <v>16</v>
      </c>
      <c r="G20" s="142"/>
      <c r="H20" s="75"/>
      <c r="I20" s="110"/>
      <c r="J20" s="110"/>
      <c r="K20" s="110"/>
      <c r="L20" s="110"/>
      <c r="M20" s="121"/>
      <c r="N20" s="107"/>
      <c r="O20" s="142"/>
      <c r="P20" s="75"/>
      <c r="Q20" s="110"/>
      <c r="R20" s="110"/>
      <c r="S20" s="110"/>
      <c r="T20" s="110"/>
      <c r="U20" s="121"/>
      <c r="V20" s="107"/>
      <c r="W20" s="142"/>
      <c r="X20" s="75"/>
      <c r="Y20" s="110"/>
      <c r="Z20" s="110"/>
      <c r="AA20" s="110"/>
      <c r="AB20" s="110"/>
      <c r="AC20" s="121" t="str">
        <f t="shared" si="2"/>
        <v/>
      </c>
      <c r="AD20" s="107"/>
      <c r="AE20" s="78" t="str">
        <f t="shared" si="0"/>
        <v/>
      </c>
      <c r="AF20" s="330">
        <f>100-33.8</f>
        <v>66.2</v>
      </c>
      <c r="AG20" s="110">
        <v>0</v>
      </c>
      <c r="AH20" s="110">
        <v>0</v>
      </c>
      <c r="AI20" s="110">
        <v>0</v>
      </c>
      <c r="AJ20" s="110">
        <v>0</v>
      </c>
      <c r="AK20" s="121">
        <v>33.799999999999997</v>
      </c>
      <c r="AL20" s="107">
        <v>16</v>
      </c>
      <c r="AM20" s="142">
        <v>16</v>
      </c>
    </row>
    <row r="21" spans="1:39">
      <c r="A21" s="3" t="s">
        <v>273</v>
      </c>
      <c r="B21" s="3" t="s">
        <v>274</v>
      </c>
      <c r="C21" s="202" t="s">
        <v>42</v>
      </c>
      <c r="D21" s="202" t="s">
        <v>275</v>
      </c>
      <c r="E21" s="216">
        <v>9</v>
      </c>
      <c r="F21" s="107">
        <f t="shared" si="1"/>
        <v>0</v>
      </c>
      <c r="G21" s="142"/>
      <c r="H21" s="75"/>
      <c r="I21" s="110"/>
      <c r="J21" s="110"/>
      <c r="K21" s="110"/>
      <c r="L21" s="110"/>
      <c r="M21" s="121"/>
      <c r="N21" s="107"/>
      <c r="O21" s="142"/>
      <c r="P21" s="75"/>
      <c r="Q21" s="110"/>
      <c r="R21" s="110"/>
      <c r="S21" s="110"/>
      <c r="T21" s="110"/>
      <c r="U21" s="121"/>
      <c r="V21" s="107"/>
      <c r="W21" s="142"/>
      <c r="X21" s="75"/>
      <c r="Y21" s="110"/>
      <c r="Z21" s="110"/>
      <c r="AA21" s="110"/>
      <c r="AB21" s="110"/>
      <c r="AC21" s="121" t="str">
        <f t="shared" si="2"/>
        <v/>
      </c>
      <c r="AD21" s="107"/>
      <c r="AE21" s="78" t="str">
        <f t="shared" si="0"/>
        <v/>
      </c>
      <c r="AF21" s="330"/>
      <c r="AG21" s="110"/>
      <c r="AH21" s="110"/>
      <c r="AI21" s="110"/>
      <c r="AJ21" s="110"/>
      <c r="AK21" s="121"/>
      <c r="AL21" s="107"/>
      <c r="AM21" s="142"/>
    </row>
    <row r="22" spans="1:39">
      <c r="A22" s="3" t="s">
        <v>276</v>
      </c>
      <c r="B22" s="3" t="s">
        <v>78</v>
      </c>
      <c r="C22" s="202" t="s">
        <v>79</v>
      </c>
      <c r="D22" s="202" t="s">
        <v>277</v>
      </c>
      <c r="E22" s="171"/>
      <c r="F22" s="107">
        <f t="shared" si="1"/>
        <v>37</v>
      </c>
      <c r="G22" s="142">
        <f>SUM(O22,AM22)</f>
        <v>37</v>
      </c>
      <c r="H22" s="75">
        <v>65.84</v>
      </c>
      <c r="I22" s="110">
        <v>0</v>
      </c>
      <c r="J22" s="110">
        <v>0</v>
      </c>
      <c r="K22" s="110">
        <v>0</v>
      </c>
      <c r="L22" s="110">
        <v>0</v>
      </c>
      <c r="M22" s="121">
        <v>0</v>
      </c>
      <c r="N22" s="107">
        <v>19</v>
      </c>
      <c r="O22" s="142">
        <f>N22</f>
        <v>19</v>
      </c>
      <c r="P22" s="75"/>
      <c r="Q22" s="110"/>
      <c r="R22" s="110"/>
      <c r="S22" s="110"/>
      <c r="T22" s="110"/>
      <c r="U22" s="121"/>
      <c r="V22" s="107"/>
      <c r="W22" s="142"/>
      <c r="X22" s="75"/>
      <c r="Y22" s="110"/>
      <c r="Z22" s="110"/>
      <c r="AA22" s="110"/>
      <c r="AB22" s="110"/>
      <c r="AC22" s="121" t="str">
        <f t="shared" si="2"/>
        <v/>
      </c>
      <c r="AD22" s="107"/>
      <c r="AE22" s="78" t="str">
        <f t="shared" si="0"/>
        <v/>
      </c>
      <c r="AF22" s="330">
        <f>100-33</f>
        <v>67</v>
      </c>
      <c r="AG22" s="110">
        <v>0</v>
      </c>
      <c r="AH22" s="110">
        <v>0</v>
      </c>
      <c r="AI22" s="110">
        <v>0</v>
      </c>
      <c r="AJ22" s="110">
        <v>0</v>
      </c>
      <c r="AK22" s="121">
        <v>33</v>
      </c>
      <c r="AL22" s="107">
        <v>18</v>
      </c>
      <c r="AM22" s="142">
        <v>18</v>
      </c>
    </row>
    <row r="23" spans="1:39">
      <c r="A23" s="3" t="s">
        <v>136</v>
      </c>
      <c r="B23" s="3" t="s">
        <v>122</v>
      </c>
      <c r="C23" s="221" t="s">
        <v>111</v>
      </c>
      <c r="D23" s="202" t="s">
        <v>137</v>
      </c>
      <c r="E23" s="171"/>
      <c r="F23" s="107">
        <f t="shared" si="1"/>
        <v>0</v>
      </c>
      <c r="G23" s="154"/>
      <c r="H23" s="75"/>
      <c r="I23" s="110"/>
      <c r="J23" s="110"/>
      <c r="K23" s="110"/>
      <c r="L23" s="110"/>
      <c r="M23" s="121"/>
      <c r="N23" s="109"/>
      <c r="O23" s="154"/>
      <c r="P23" s="75"/>
      <c r="Q23" s="110"/>
      <c r="R23" s="110"/>
      <c r="S23" s="110"/>
      <c r="T23" s="110"/>
      <c r="U23" s="121"/>
      <c r="V23" s="109"/>
      <c r="W23" s="154"/>
      <c r="X23" s="75"/>
      <c r="Y23" s="110"/>
      <c r="Z23" s="110"/>
      <c r="AA23" s="110"/>
      <c r="AB23" s="110"/>
      <c r="AC23" s="121" t="str">
        <f t="shared" si="2"/>
        <v/>
      </c>
      <c r="AD23" s="109"/>
      <c r="AE23" s="78" t="str">
        <f t="shared" si="0"/>
        <v/>
      </c>
      <c r="AF23" s="330"/>
      <c r="AG23" s="110"/>
      <c r="AH23" s="110"/>
      <c r="AI23" s="110"/>
      <c r="AJ23" s="110"/>
      <c r="AK23" s="121"/>
      <c r="AL23" s="109"/>
      <c r="AM23" s="154"/>
    </row>
    <row r="24" spans="1:39">
      <c r="A24" s="3" t="s">
        <v>95</v>
      </c>
      <c r="B24" s="3" t="s">
        <v>96</v>
      </c>
      <c r="C24" s="202" t="s">
        <v>97</v>
      </c>
      <c r="D24" s="219" t="s">
        <v>98</v>
      </c>
      <c r="E24" s="216">
        <v>7</v>
      </c>
      <c r="F24" s="107">
        <f t="shared" si="1"/>
        <v>0</v>
      </c>
      <c r="G24" s="154"/>
      <c r="H24" s="75"/>
      <c r="I24" s="110"/>
      <c r="J24" s="110"/>
      <c r="K24" s="110"/>
      <c r="L24" s="110"/>
      <c r="M24" s="121"/>
      <c r="N24" s="109"/>
      <c r="O24" s="154"/>
      <c r="P24" s="75"/>
      <c r="Q24" s="110"/>
      <c r="R24" s="110"/>
      <c r="S24" s="110"/>
      <c r="T24" s="110"/>
      <c r="U24" s="121"/>
      <c r="V24" s="109"/>
      <c r="W24" s="154"/>
      <c r="X24" s="75">
        <v>55.28</v>
      </c>
      <c r="Y24" s="110"/>
      <c r="Z24" s="110"/>
      <c r="AA24" s="110" t="s">
        <v>268</v>
      </c>
      <c r="AB24" s="110"/>
      <c r="AC24" s="121" t="str">
        <f t="shared" si="2"/>
        <v/>
      </c>
      <c r="AD24" s="109"/>
      <c r="AE24" s="78" t="s">
        <v>31</v>
      </c>
      <c r="AF24" s="330"/>
      <c r="AG24" s="110"/>
      <c r="AH24" s="110"/>
      <c r="AI24" s="110"/>
      <c r="AJ24" s="110"/>
      <c r="AK24" s="121"/>
      <c r="AL24" s="109"/>
      <c r="AM24" s="154"/>
    </row>
    <row r="25" spans="1:39">
      <c r="A25" s="3" t="s">
        <v>99</v>
      </c>
      <c r="B25" s="3" t="s">
        <v>41</v>
      </c>
      <c r="C25" s="202" t="s">
        <v>42</v>
      </c>
      <c r="D25" s="202" t="s">
        <v>100</v>
      </c>
      <c r="E25" s="252">
        <v>7</v>
      </c>
      <c r="F25" s="107">
        <f t="shared" si="1"/>
        <v>33</v>
      </c>
      <c r="G25" s="154">
        <f>SUM(O25,AM25)</f>
        <v>33</v>
      </c>
      <c r="H25" s="75">
        <v>65.28</v>
      </c>
      <c r="I25" s="110">
        <v>20</v>
      </c>
      <c r="J25" s="110">
        <v>0</v>
      </c>
      <c r="K25" s="110">
        <v>0</v>
      </c>
      <c r="L25" s="110">
        <v>0</v>
      </c>
      <c r="M25" s="121">
        <v>20</v>
      </c>
      <c r="N25" s="109">
        <v>16</v>
      </c>
      <c r="O25" s="142">
        <v>16</v>
      </c>
      <c r="P25" s="75"/>
      <c r="Q25" s="110"/>
      <c r="R25" s="110"/>
      <c r="S25" s="110"/>
      <c r="T25" s="110"/>
      <c r="U25" s="121"/>
      <c r="V25" s="109"/>
      <c r="W25" s="154"/>
      <c r="X25" s="75"/>
      <c r="Y25" s="110"/>
      <c r="Z25" s="110"/>
      <c r="AA25" s="110"/>
      <c r="AB25" s="110"/>
      <c r="AC25" s="121" t="str">
        <f t="shared" si="2"/>
        <v/>
      </c>
      <c r="AD25" s="109"/>
      <c r="AE25" s="78" t="str">
        <f t="shared" si="0"/>
        <v/>
      </c>
      <c r="AF25" s="330">
        <f>100-32.4</f>
        <v>67.599999999999994</v>
      </c>
      <c r="AG25" s="110">
        <v>0</v>
      </c>
      <c r="AH25" s="110">
        <v>0.8</v>
      </c>
      <c r="AI25" s="110">
        <v>0</v>
      </c>
      <c r="AJ25" s="110">
        <v>0</v>
      </c>
      <c r="AK25" s="121">
        <v>33.200000000000003</v>
      </c>
      <c r="AL25" s="109">
        <v>17</v>
      </c>
      <c r="AM25" s="154">
        <v>17</v>
      </c>
    </row>
    <row r="26" spans="1:39">
      <c r="A26" s="3" t="s">
        <v>40</v>
      </c>
      <c r="B26" s="3" t="s">
        <v>41</v>
      </c>
      <c r="C26" s="202" t="s">
        <v>42</v>
      </c>
      <c r="D26" s="202" t="s">
        <v>43</v>
      </c>
      <c r="E26" s="171"/>
      <c r="F26" s="107">
        <f t="shared" ref="F26:F27" si="3">N26+V26+AD26+AL26</f>
        <v>0</v>
      </c>
      <c r="G26" s="142"/>
      <c r="H26" s="75"/>
      <c r="I26" s="110"/>
      <c r="J26" s="110"/>
      <c r="K26" s="110"/>
      <c r="L26" s="110"/>
      <c r="M26" s="121"/>
      <c r="N26" s="107"/>
      <c r="O26" s="142"/>
      <c r="P26" s="75"/>
      <c r="Q26" s="110"/>
      <c r="R26" s="110"/>
      <c r="S26" s="110"/>
      <c r="T26" s="110"/>
      <c r="U26" s="121"/>
      <c r="V26" s="107"/>
      <c r="W26" s="142"/>
      <c r="X26" s="75"/>
      <c r="Y26" s="110"/>
      <c r="Z26" s="110"/>
      <c r="AA26" s="110"/>
      <c r="AB26" s="110"/>
      <c r="AC26" s="121" t="str">
        <f t="shared" si="2"/>
        <v/>
      </c>
      <c r="AD26" s="107"/>
      <c r="AE26" s="78" t="str">
        <f t="shared" si="0"/>
        <v/>
      </c>
      <c r="AF26" s="75"/>
      <c r="AG26" s="110"/>
      <c r="AH26" s="110"/>
      <c r="AI26" s="110"/>
      <c r="AJ26" s="110"/>
      <c r="AK26" s="121"/>
      <c r="AL26" s="107"/>
      <c r="AM26" s="142"/>
    </row>
    <row r="27" spans="1:39" ht="16.5" thickBot="1">
      <c r="A27" s="2"/>
      <c r="B27" s="2"/>
      <c r="C27" s="5"/>
      <c r="D27" s="2"/>
      <c r="E27" s="171"/>
      <c r="F27" s="108">
        <f t="shared" si="3"/>
        <v>0</v>
      </c>
      <c r="G27" s="164"/>
      <c r="H27" s="75"/>
      <c r="I27" s="110"/>
      <c r="J27" s="110"/>
      <c r="K27" s="110"/>
      <c r="L27" s="110"/>
      <c r="M27" s="121"/>
      <c r="N27" s="108"/>
      <c r="O27" s="143"/>
      <c r="P27" s="75"/>
      <c r="Q27" s="110"/>
      <c r="R27" s="110"/>
      <c r="S27" s="110"/>
      <c r="T27" s="110"/>
      <c r="U27" s="121"/>
      <c r="V27" s="174"/>
      <c r="W27" s="173"/>
      <c r="X27" s="75"/>
      <c r="Y27" s="110"/>
      <c r="Z27" s="110"/>
      <c r="AA27" s="110"/>
      <c r="AB27" s="110"/>
      <c r="AC27" s="121"/>
      <c r="AD27" s="174"/>
      <c r="AE27" s="86" t="str">
        <f t="shared" si="0"/>
        <v/>
      </c>
      <c r="AF27" s="75"/>
      <c r="AG27" s="110"/>
      <c r="AH27" s="110"/>
      <c r="AI27" s="110"/>
      <c r="AJ27" s="110"/>
      <c r="AK27" s="121"/>
      <c r="AL27" s="174"/>
      <c r="AM27" s="173"/>
    </row>
    <row r="28" spans="1:39" ht="16.5" thickBot="1">
      <c r="A28" s="7"/>
      <c r="B28" s="7"/>
      <c r="C28" s="7"/>
      <c r="D28" s="7"/>
      <c r="E28" s="7"/>
      <c r="F28" s="45"/>
      <c r="G28" s="18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row>
    <row r="29" spans="1:39" ht="24" thickBot="1">
      <c r="F29" s="45"/>
      <c r="G29" s="45"/>
      <c r="H29" s="435" t="s">
        <v>467</v>
      </c>
      <c r="I29" s="436"/>
      <c r="J29" s="436"/>
      <c r="K29" s="436"/>
      <c r="L29" s="436"/>
      <c r="M29" s="436"/>
      <c r="N29" s="436"/>
      <c r="O29" s="437"/>
      <c r="P29" s="410" t="s">
        <v>480</v>
      </c>
      <c r="Q29" s="411"/>
      <c r="R29" s="411"/>
      <c r="S29" s="411"/>
      <c r="T29" s="411"/>
      <c r="U29" s="411"/>
      <c r="V29" s="411"/>
      <c r="W29" s="412"/>
      <c r="X29" s="390" t="s">
        <v>481</v>
      </c>
      <c r="Y29" s="391"/>
      <c r="Z29" s="391"/>
      <c r="AA29" s="391"/>
      <c r="AB29" s="391"/>
      <c r="AC29" s="391"/>
      <c r="AD29" s="391"/>
      <c r="AE29" s="430"/>
      <c r="AF29" s="431" t="s">
        <v>252</v>
      </c>
      <c r="AG29" s="432"/>
      <c r="AH29" s="432"/>
      <c r="AI29" s="432"/>
      <c r="AJ29" s="432"/>
      <c r="AK29" s="432"/>
      <c r="AL29" s="432"/>
      <c r="AM29" s="433"/>
    </row>
    <row r="30" spans="1:39" ht="47.25">
      <c r="A30" s="416" t="s">
        <v>278</v>
      </c>
      <c r="B30" s="409"/>
      <c r="C30" s="409"/>
      <c r="D30" s="409"/>
      <c r="E30" s="434"/>
      <c r="F30" s="117" t="s">
        <v>9</v>
      </c>
      <c r="G30" s="51" t="s">
        <v>10</v>
      </c>
      <c r="H30" s="47" t="s">
        <v>254</v>
      </c>
      <c r="I30" s="41" t="s">
        <v>255</v>
      </c>
      <c r="J30" s="41" t="s">
        <v>256</v>
      </c>
      <c r="K30" s="41" t="s">
        <v>257</v>
      </c>
      <c r="L30" s="122" t="s">
        <v>258</v>
      </c>
      <c r="M30" s="123" t="s">
        <v>259</v>
      </c>
      <c r="N30" s="92" t="s">
        <v>15</v>
      </c>
      <c r="O30" s="51" t="s">
        <v>16</v>
      </c>
      <c r="P30" s="47" t="s">
        <v>254</v>
      </c>
      <c r="Q30" s="41" t="s">
        <v>255</v>
      </c>
      <c r="R30" s="41" t="s">
        <v>256</v>
      </c>
      <c r="S30" s="41" t="s">
        <v>257</v>
      </c>
      <c r="T30" s="122" t="s">
        <v>258</v>
      </c>
      <c r="U30" s="123" t="s">
        <v>259</v>
      </c>
      <c r="V30" s="92" t="s">
        <v>15</v>
      </c>
      <c r="W30" s="51" t="s">
        <v>16</v>
      </c>
      <c r="X30" s="47" t="s">
        <v>254</v>
      </c>
      <c r="Y30" s="41" t="s">
        <v>255</v>
      </c>
      <c r="Z30" s="41" t="s">
        <v>256</v>
      </c>
      <c r="AA30" s="41" t="s">
        <v>257</v>
      </c>
      <c r="AB30" s="122" t="s">
        <v>258</v>
      </c>
      <c r="AC30" s="123" t="s">
        <v>259</v>
      </c>
      <c r="AD30" s="92" t="s">
        <v>15</v>
      </c>
      <c r="AE30" s="51" t="s">
        <v>16</v>
      </c>
      <c r="AF30" s="47" t="s">
        <v>254</v>
      </c>
      <c r="AG30" s="41" t="s">
        <v>255</v>
      </c>
      <c r="AH30" s="41" t="s">
        <v>256</v>
      </c>
      <c r="AI30" s="41" t="s">
        <v>257</v>
      </c>
      <c r="AJ30" s="122" t="s">
        <v>258</v>
      </c>
      <c r="AK30" s="123" t="s">
        <v>259</v>
      </c>
      <c r="AL30" s="92" t="s">
        <v>15</v>
      </c>
      <c r="AM30" s="51" t="s">
        <v>16</v>
      </c>
    </row>
    <row r="31" spans="1:39">
      <c r="A31" s="1" t="s">
        <v>22</v>
      </c>
      <c r="B31" s="1" t="s">
        <v>23</v>
      </c>
      <c r="C31" s="4" t="s">
        <v>24</v>
      </c>
      <c r="D31" s="1" t="s">
        <v>25</v>
      </c>
      <c r="E31" s="170" t="s">
        <v>26</v>
      </c>
      <c r="F31" s="147"/>
      <c r="G31" s="144"/>
      <c r="H31" s="75"/>
      <c r="I31" s="110"/>
      <c r="J31" s="110"/>
      <c r="K31" s="110"/>
      <c r="L31" s="110"/>
      <c r="M31" s="121"/>
      <c r="N31" s="107"/>
      <c r="O31" s="142"/>
      <c r="P31" s="75"/>
      <c r="Q31" s="110"/>
      <c r="R31" s="110"/>
      <c r="S31" s="110"/>
      <c r="T31" s="110"/>
      <c r="U31" s="121"/>
      <c r="V31" s="107"/>
      <c r="W31" s="142"/>
      <c r="X31" s="75"/>
      <c r="Y31" s="110"/>
      <c r="Z31" s="110"/>
      <c r="AA31" s="110"/>
      <c r="AB31" s="110"/>
      <c r="AC31" s="121"/>
      <c r="AD31" s="107"/>
      <c r="AE31" s="78" t="str">
        <f t="shared" ref="AE31:AE39" si="4">IF(AD31="","",AD31)</f>
        <v/>
      </c>
      <c r="AF31" s="75"/>
      <c r="AG31" s="110"/>
      <c r="AH31" s="110"/>
      <c r="AI31" s="110"/>
      <c r="AJ31" s="110"/>
      <c r="AK31" s="121"/>
      <c r="AL31" s="107"/>
      <c r="AM31" s="142"/>
    </row>
    <row r="32" spans="1:39">
      <c r="A32" s="3" t="s">
        <v>139</v>
      </c>
      <c r="B32" s="3" t="s">
        <v>140</v>
      </c>
      <c r="C32" s="202" t="s">
        <v>63</v>
      </c>
      <c r="D32" s="3" t="s">
        <v>141</v>
      </c>
      <c r="E32" s="216">
        <v>11</v>
      </c>
      <c r="F32" s="357">
        <f t="shared" ref="F32:F37" si="5">N32+V32+AD32+AL32</f>
        <v>0</v>
      </c>
      <c r="G32" s="166"/>
      <c r="H32" s="75"/>
      <c r="I32" s="110"/>
      <c r="J32" s="110"/>
      <c r="K32" s="110"/>
      <c r="L32" s="110"/>
      <c r="M32" s="121"/>
      <c r="N32" s="107"/>
      <c r="O32" s="142"/>
      <c r="P32" s="75"/>
      <c r="Q32" s="110"/>
      <c r="R32" s="110"/>
      <c r="S32" s="110"/>
      <c r="T32" s="110"/>
      <c r="U32" s="121"/>
      <c r="V32" s="107"/>
      <c r="W32" s="142"/>
      <c r="X32" s="75"/>
      <c r="Y32" s="110"/>
      <c r="Z32" s="110"/>
      <c r="AA32" s="110"/>
      <c r="AB32" s="110"/>
      <c r="AC32" s="121" t="str">
        <f t="shared" ref="AC32:AC39" si="6">IF(SUM(Y32:AB32)=0,"",SUM(Y32:AB32))</f>
        <v/>
      </c>
      <c r="AD32" s="107"/>
      <c r="AE32" s="78" t="str">
        <f t="shared" ref="AE32:AE37" si="7">IF(AD32="","",AD32)</f>
        <v/>
      </c>
      <c r="AF32" s="75"/>
      <c r="AG32" s="110"/>
      <c r="AH32" s="110"/>
      <c r="AI32" s="110"/>
      <c r="AJ32" s="110"/>
      <c r="AK32" s="121"/>
      <c r="AL32" s="107"/>
      <c r="AM32" s="142"/>
    </row>
    <row r="33" spans="1:39">
      <c r="A33" s="202" t="s">
        <v>121</v>
      </c>
      <c r="B33" s="212" t="s">
        <v>122</v>
      </c>
      <c r="C33" s="202" t="s">
        <v>111</v>
      </c>
      <c r="D33" s="202" t="s">
        <v>279</v>
      </c>
      <c r="E33" s="5"/>
      <c r="F33" s="357">
        <f t="shared" si="5"/>
        <v>20</v>
      </c>
      <c r="G33" s="166"/>
      <c r="H33" s="75"/>
      <c r="I33" s="110"/>
      <c r="J33" s="110"/>
      <c r="K33" s="110"/>
      <c r="L33" s="110"/>
      <c r="M33" s="121"/>
      <c r="N33" s="107"/>
      <c r="O33" s="142"/>
      <c r="P33" s="75"/>
      <c r="Q33" s="110"/>
      <c r="R33" s="110"/>
      <c r="S33" s="110"/>
      <c r="T33" s="110"/>
      <c r="U33" s="121"/>
      <c r="V33" s="107"/>
      <c r="W33" s="142"/>
      <c r="X33" s="75">
        <v>69.209999999999994</v>
      </c>
      <c r="Y33" s="110">
        <v>0</v>
      </c>
      <c r="Z33" s="110">
        <v>0</v>
      </c>
      <c r="AA33" s="110">
        <v>0</v>
      </c>
      <c r="AB33" s="110">
        <v>0</v>
      </c>
      <c r="AC33" s="121" t="str">
        <f t="shared" si="6"/>
        <v/>
      </c>
      <c r="AD33" s="107">
        <v>20</v>
      </c>
      <c r="AE33" s="78">
        <f t="shared" si="7"/>
        <v>20</v>
      </c>
      <c r="AF33" s="75">
        <f>100-36.6</f>
        <v>63.4</v>
      </c>
      <c r="AG33" s="110">
        <v>60</v>
      </c>
      <c r="AH33" s="110">
        <v>16.8</v>
      </c>
      <c r="AI33" s="110">
        <v>0</v>
      </c>
      <c r="AJ33" s="110">
        <v>0</v>
      </c>
      <c r="AK33" s="121">
        <f>36.6+AH33+AG33</f>
        <v>113.4</v>
      </c>
      <c r="AL33" s="107"/>
      <c r="AM33" s="142"/>
    </row>
    <row r="34" spans="1:39">
      <c r="A34" s="202" t="s">
        <v>125</v>
      </c>
      <c r="B34" s="202" t="s">
        <v>126</v>
      </c>
      <c r="C34" s="202" t="s">
        <v>127</v>
      </c>
      <c r="D34" s="202" t="s">
        <v>128</v>
      </c>
      <c r="E34" s="171"/>
      <c r="F34" s="357">
        <f t="shared" si="5"/>
        <v>38</v>
      </c>
      <c r="G34" s="154">
        <f>SUM(AE34,AM34)</f>
        <v>38</v>
      </c>
      <c r="H34" s="75"/>
      <c r="I34" s="110"/>
      <c r="J34" s="110"/>
      <c r="K34" s="110"/>
      <c r="L34" s="110"/>
      <c r="M34" s="121"/>
      <c r="N34" s="107"/>
      <c r="O34" s="142"/>
      <c r="P34" s="75"/>
      <c r="Q34" s="110"/>
      <c r="R34" s="110"/>
      <c r="S34" s="110"/>
      <c r="T34" s="110"/>
      <c r="U34" s="121"/>
      <c r="V34" s="107"/>
      <c r="W34" s="142"/>
      <c r="X34" s="75">
        <v>66.84</v>
      </c>
      <c r="Y34" s="110">
        <v>0</v>
      </c>
      <c r="Z34" s="110">
        <v>0</v>
      </c>
      <c r="AA34" s="110">
        <v>8</v>
      </c>
      <c r="AB34" s="110">
        <v>0</v>
      </c>
      <c r="AC34" s="121">
        <f t="shared" si="6"/>
        <v>8</v>
      </c>
      <c r="AD34" s="107">
        <v>19</v>
      </c>
      <c r="AE34" s="78">
        <f t="shared" si="7"/>
        <v>19</v>
      </c>
      <c r="AF34" s="75">
        <f>100-25.4</f>
        <v>74.599999999999994</v>
      </c>
      <c r="AG34" s="110">
        <v>20</v>
      </c>
      <c r="AH34" s="110">
        <v>0</v>
      </c>
      <c r="AI34" s="110">
        <v>0</v>
      </c>
      <c r="AJ34" s="110">
        <v>0</v>
      </c>
      <c r="AK34" s="121">
        <v>45.4</v>
      </c>
      <c r="AL34" s="107">
        <v>19</v>
      </c>
      <c r="AM34" s="142">
        <v>19</v>
      </c>
    </row>
    <row r="35" spans="1:39">
      <c r="A35" s="3" t="s">
        <v>201</v>
      </c>
      <c r="B35" s="3" t="s">
        <v>280</v>
      </c>
      <c r="C35" s="202" t="s">
        <v>63</v>
      </c>
      <c r="D35" s="202" t="s">
        <v>281</v>
      </c>
      <c r="E35" s="216">
        <v>11</v>
      </c>
      <c r="F35" s="357">
        <f t="shared" si="5"/>
        <v>36</v>
      </c>
      <c r="G35" s="154">
        <f>SUM(AE35,AM35)</f>
        <v>36</v>
      </c>
      <c r="H35" s="75">
        <v>68.16</v>
      </c>
      <c r="I35" s="110">
        <v>0</v>
      </c>
      <c r="J35" s="110">
        <v>50.8</v>
      </c>
      <c r="K35" s="110">
        <v>4</v>
      </c>
      <c r="L35" s="110">
        <v>2</v>
      </c>
      <c r="M35" s="389">
        <v>56.8</v>
      </c>
      <c r="N35" s="107"/>
      <c r="O35" s="142" t="s">
        <v>31</v>
      </c>
      <c r="P35" s="75"/>
      <c r="Q35" s="110"/>
      <c r="R35" s="110"/>
      <c r="S35" s="110"/>
      <c r="T35" s="110"/>
      <c r="U35" s="121"/>
      <c r="V35" s="107"/>
      <c r="W35" s="142"/>
      <c r="X35" s="75">
        <v>63.42</v>
      </c>
      <c r="Y35" s="110">
        <v>20</v>
      </c>
      <c r="Z35" s="110">
        <v>2</v>
      </c>
      <c r="AA35" s="110">
        <v>4</v>
      </c>
      <c r="AB35" s="110">
        <v>0</v>
      </c>
      <c r="AC35" s="121">
        <f t="shared" si="6"/>
        <v>26</v>
      </c>
      <c r="AD35" s="107">
        <v>16</v>
      </c>
      <c r="AE35" s="78">
        <f t="shared" si="7"/>
        <v>16</v>
      </c>
      <c r="AF35" s="75">
        <f>100-24.5</f>
        <v>75.5</v>
      </c>
      <c r="AG35" s="110">
        <v>0</v>
      </c>
      <c r="AH35" s="110">
        <v>0</v>
      </c>
      <c r="AI35" s="110">
        <v>0</v>
      </c>
      <c r="AJ35" s="110">
        <v>0</v>
      </c>
      <c r="AK35" s="121">
        <v>24.5</v>
      </c>
      <c r="AL35" s="107">
        <v>20</v>
      </c>
      <c r="AM35" s="142">
        <v>20</v>
      </c>
    </row>
    <row r="36" spans="1:39">
      <c r="A36" s="221" t="s">
        <v>282</v>
      </c>
      <c r="B36" s="221" t="s">
        <v>283</v>
      </c>
      <c r="C36" s="221" t="s">
        <v>284</v>
      </c>
      <c r="D36" s="225" t="s">
        <v>285</v>
      </c>
      <c r="E36" s="216">
        <v>12</v>
      </c>
      <c r="F36" s="357">
        <f t="shared" si="5"/>
        <v>35</v>
      </c>
      <c r="G36" s="154">
        <f>SUM(AE36,AM36)</f>
        <v>35</v>
      </c>
      <c r="H36" s="75">
        <v>63.82</v>
      </c>
      <c r="I36" s="110">
        <v>40</v>
      </c>
      <c r="J36" s="110">
        <v>12.8</v>
      </c>
      <c r="K36" s="110">
        <v>4</v>
      </c>
      <c r="L36" s="110">
        <v>0</v>
      </c>
      <c r="M36" s="121">
        <v>52.8</v>
      </c>
      <c r="N36" s="107"/>
      <c r="O36" s="142" t="s">
        <v>31</v>
      </c>
      <c r="P36" s="75"/>
      <c r="Q36" s="110"/>
      <c r="R36" s="110"/>
      <c r="S36" s="110"/>
      <c r="T36" s="110"/>
      <c r="U36" s="121"/>
      <c r="V36" s="107"/>
      <c r="W36" s="142"/>
      <c r="X36" s="75">
        <v>62.11</v>
      </c>
      <c r="Y36" s="110">
        <v>0</v>
      </c>
      <c r="Z36" s="110">
        <v>0</v>
      </c>
      <c r="AA36" s="110">
        <v>4</v>
      </c>
      <c r="AB36" s="110">
        <v>0</v>
      </c>
      <c r="AC36" s="121">
        <f t="shared" si="6"/>
        <v>4</v>
      </c>
      <c r="AD36" s="107">
        <v>18</v>
      </c>
      <c r="AE36" s="78">
        <f t="shared" si="7"/>
        <v>18</v>
      </c>
      <c r="AF36" s="75">
        <f>100-29.5</f>
        <v>70.5</v>
      </c>
      <c r="AG36" s="110">
        <v>20</v>
      </c>
      <c r="AH36" s="110">
        <v>18</v>
      </c>
      <c r="AI36" s="110">
        <v>4</v>
      </c>
      <c r="AJ36" s="110">
        <v>0</v>
      </c>
      <c r="AK36" s="121">
        <v>61.5</v>
      </c>
      <c r="AL36" s="107">
        <v>17</v>
      </c>
      <c r="AM36" s="142">
        <v>17</v>
      </c>
    </row>
    <row r="37" spans="1:39">
      <c r="A37" s="3" t="s">
        <v>101</v>
      </c>
      <c r="B37" s="3" t="s">
        <v>33</v>
      </c>
      <c r="C37" s="202" t="s">
        <v>79</v>
      </c>
      <c r="D37" s="202" t="s">
        <v>102</v>
      </c>
      <c r="E37" s="216">
        <v>8</v>
      </c>
      <c r="F37" s="357">
        <f t="shared" si="5"/>
        <v>17</v>
      </c>
      <c r="G37" s="153"/>
      <c r="H37" s="75">
        <v>66.84</v>
      </c>
      <c r="I37" s="110"/>
      <c r="J37" s="110">
        <v>60</v>
      </c>
      <c r="K37" s="110"/>
      <c r="L37" s="110"/>
      <c r="M37" s="121" t="s">
        <v>478</v>
      </c>
      <c r="N37" s="109"/>
      <c r="O37" s="154"/>
      <c r="P37" s="75"/>
      <c r="Q37" s="110"/>
      <c r="R37" s="110"/>
      <c r="S37" s="110"/>
      <c r="T37" s="110"/>
      <c r="U37" s="121"/>
      <c r="V37" s="109"/>
      <c r="W37" s="154"/>
      <c r="X37" s="75">
        <v>63.68</v>
      </c>
      <c r="Y37" s="110">
        <v>0</v>
      </c>
      <c r="Z37" s="110">
        <v>2.8</v>
      </c>
      <c r="AA37" s="110">
        <v>8</v>
      </c>
      <c r="AB37" s="110">
        <v>0</v>
      </c>
      <c r="AC37" s="121">
        <f t="shared" si="6"/>
        <v>10.8</v>
      </c>
      <c r="AD37" s="109">
        <v>17</v>
      </c>
      <c r="AE37" s="78">
        <f t="shared" si="7"/>
        <v>17</v>
      </c>
      <c r="AF37" s="75">
        <f>100-35.3</f>
        <v>64.7</v>
      </c>
      <c r="AG37" s="110" t="s">
        <v>478</v>
      </c>
      <c r="AH37" s="110"/>
      <c r="AI37" s="110">
        <v>16</v>
      </c>
      <c r="AJ37" s="110"/>
      <c r="AK37" s="121"/>
      <c r="AL37" s="109"/>
      <c r="AM37" s="154"/>
    </row>
    <row r="38" spans="1:39">
      <c r="A38" s="202" t="s">
        <v>468</v>
      </c>
      <c r="B38" s="202" t="s">
        <v>469</v>
      </c>
      <c r="C38" s="205" t="s">
        <v>470</v>
      </c>
      <c r="D38" s="202" t="s">
        <v>471</v>
      </c>
      <c r="E38" s="171"/>
      <c r="F38" s="357">
        <f t="shared" ref="F38:F40" si="8">N38+V38+AD38+AL38</f>
        <v>20</v>
      </c>
      <c r="G38" s="153"/>
      <c r="H38" s="75">
        <v>60.4</v>
      </c>
      <c r="I38" s="110">
        <v>20</v>
      </c>
      <c r="J38" s="110">
        <v>4.4000000000000004</v>
      </c>
      <c r="K38" s="110">
        <v>4</v>
      </c>
      <c r="L38" s="110">
        <v>0</v>
      </c>
      <c r="M38" s="121">
        <v>8.4</v>
      </c>
      <c r="N38" s="109">
        <v>20</v>
      </c>
      <c r="O38" s="142">
        <f>N38</f>
        <v>20</v>
      </c>
      <c r="P38" s="75"/>
      <c r="Q38" s="110"/>
      <c r="R38" s="110"/>
      <c r="S38" s="110"/>
      <c r="T38" s="110"/>
      <c r="U38" s="121"/>
      <c r="V38" s="109"/>
      <c r="W38" s="154"/>
      <c r="X38" s="75"/>
      <c r="Y38" s="110"/>
      <c r="Z38" s="110"/>
      <c r="AA38" s="110"/>
      <c r="AB38" s="110"/>
      <c r="AC38" s="121" t="str">
        <f t="shared" si="6"/>
        <v/>
      </c>
      <c r="AD38" s="109"/>
      <c r="AE38" s="78" t="str">
        <f t="shared" si="4"/>
        <v/>
      </c>
      <c r="AF38" s="75"/>
      <c r="AG38" s="110"/>
      <c r="AH38" s="110"/>
      <c r="AI38" s="110"/>
      <c r="AJ38" s="110"/>
      <c r="AK38" s="121"/>
      <c r="AL38" s="109"/>
      <c r="AM38" s="154"/>
    </row>
    <row r="39" spans="1:39">
      <c r="A39" s="202" t="s">
        <v>121</v>
      </c>
      <c r="B39" s="212" t="s">
        <v>122</v>
      </c>
      <c r="C39" s="202" t="s">
        <v>111</v>
      </c>
      <c r="D39" s="202" t="s">
        <v>477</v>
      </c>
      <c r="E39" s="171"/>
      <c r="F39" s="357">
        <f t="shared" si="8"/>
        <v>0</v>
      </c>
      <c r="G39" s="166"/>
      <c r="H39" s="354"/>
      <c r="I39" s="355"/>
      <c r="J39" s="355"/>
      <c r="K39" s="355"/>
      <c r="L39" s="355"/>
      <c r="M39" s="356"/>
      <c r="N39" s="109"/>
      <c r="O39" s="154"/>
      <c r="P39" s="354"/>
      <c r="Q39" s="355"/>
      <c r="R39" s="355"/>
      <c r="S39" s="355"/>
      <c r="T39" s="355"/>
      <c r="U39" s="356"/>
      <c r="V39" s="109"/>
      <c r="W39" s="154"/>
      <c r="X39" s="354"/>
      <c r="Y39" s="355"/>
      <c r="Z39" s="355"/>
      <c r="AA39" s="355"/>
      <c r="AB39" s="355"/>
      <c r="AC39" s="356" t="str">
        <f t="shared" si="6"/>
        <v/>
      </c>
      <c r="AD39" s="109"/>
      <c r="AE39" s="85" t="str">
        <f t="shared" si="4"/>
        <v/>
      </c>
      <c r="AF39" s="354"/>
      <c r="AG39" s="110"/>
      <c r="AH39" s="110"/>
      <c r="AI39" s="110"/>
      <c r="AJ39" s="110"/>
      <c r="AK39" s="121"/>
      <c r="AL39" s="107"/>
      <c r="AM39" s="142"/>
    </row>
    <row r="40" spans="1:39" ht="16.5" thickBot="1">
      <c r="A40" s="3" t="s">
        <v>270</v>
      </c>
      <c r="B40" s="3" t="str">
        <f>LEFT(A40,FIND(" ",A40))</f>
        <v xml:space="preserve">Katrina </v>
      </c>
      <c r="C40" s="221" t="s">
        <v>111</v>
      </c>
      <c r="D40" s="202" t="s">
        <v>271</v>
      </c>
      <c r="E40" s="7"/>
      <c r="F40" s="357">
        <f t="shared" si="8"/>
        <v>18</v>
      </c>
      <c r="G40" s="167"/>
      <c r="H40" s="75"/>
      <c r="I40" s="110"/>
      <c r="J40" s="110"/>
      <c r="K40" s="110"/>
      <c r="L40" s="110"/>
      <c r="M40" s="121"/>
      <c r="N40" s="108"/>
      <c r="O40" s="143"/>
      <c r="P40" s="75"/>
      <c r="Q40" s="110"/>
      <c r="R40" s="110"/>
      <c r="S40" s="110"/>
      <c r="T40" s="110"/>
      <c r="U40" s="110"/>
      <c r="V40" s="352"/>
      <c r="W40" s="353"/>
      <c r="X40" s="110"/>
      <c r="Y40" s="110"/>
      <c r="Z40" s="110"/>
      <c r="AA40" s="110"/>
      <c r="AB40" s="110"/>
      <c r="AC40" s="121"/>
      <c r="AD40" s="108"/>
      <c r="AE40" s="86"/>
      <c r="AF40" s="75">
        <f>100-43.9</f>
        <v>56.1</v>
      </c>
      <c r="AG40" s="110">
        <v>0</v>
      </c>
      <c r="AH40" s="110">
        <v>0</v>
      </c>
      <c r="AI40" s="110">
        <v>8</v>
      </c>
      <c r="AJ40" s="110">
        <v>0</v>
      </c>
      <c r="AK40" s="121">
        <v>51.9</v>
      </c>
      <c r="AL40" s="108">
        <v>18</v>
      </c>
      <c r="AM40" s="143">
        <v>18</v>
      </c>
    </row>
    <row r="41" spans="1:39" ht="16.5" thickBot="1">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row>
    <row r="42" spans="1:39" ht="24" thickBot="1">
      <c r="A42" s="7"/>
      <c r="B42" s="7"/>
      <c r="C42" s="7"/>
      <c r="D42" s="7"/>
      <c r="E42" s="7"/>
      <c r="F42" s="124"/>
      <c r="G42" s="124"/>
      <c r="H42" s="435" t="s">
        <v>467</v>
      </c>
      <c r="I42" s="436"/>
      <c r="J42" s="436"/>
      <c r="K42" s="436"/>
      <c r="L42" s="436"/>
      <c r="M42" s="436"/>
      <c r="N42" s="436"/>
      <c r="O42" s="437"/>
      <c r="P42" s="410" t="s">
        <v>480</v>
      </c>
      <c r="Q42" s="411"/>
      <c r="R42" s="411"/>
      <c r="S42" s="411"/>
      <c r="T42" s="411"/>
      <c r="U42" s="411"/>
      <c r="V42" s="411"/>
      <c r="W42" s="412"/>
      <c r="X42" s="390" t="s">
        <v>481</v>
      </c>
      <c r="Y42" s="391"/>
      <c r="Z42" s="391"/>
      <c r="AA42" s="391"/>
      <c r="AB42" s="391"/>
      <c r="AC42" s="391"/>
      <c r="AD42" s="391"/>
      <c r="AE42" s="430"/>
      <c r="AF42" s="431" t="s">
        <v>252</v>
      </c>
      <c r="AG42" s="432"/>
      <c r="AH42" s="432"/>
      <c r="AI42" s="432"/>
      <c r="AJ42" s="432"/>
      <c r="AK42" s="432"/>
      <c r="AL42" s="432"/>
      <c r="AM42" s="433"/>
    </row>
    <row r="43" spans="1:39" ht="47.25">
      <c r="A43" s="416" t="s">
        <v>286</v>
      </c>
      <c r="B43" s="409"/>
      <c r="C43" s="409"/>
      <c r="D43" s="409"/>
      <c r="E43" s="434"/>
      <c r="F43" s="117" t="s">
        <v>9</v>
      </c>
      <c r="G43" s="51" t="s">
        <v>10</v>
      </c>
      <c r="H43" s="47" t="s">
        <v>254</v>
      </c>
      <c r="I43" s="41" t="s">
        <v>255</v>
      </c>
      <c r="J43" s="41" t="s">
        <v>256</v>
      </c>
      <c r="K43" s="41" t="s">
        <v>257</v>
      </c>
      <c r="L43" s="122" t="s">
        <v>258</v>
      </c>
      <c r="M43" s="123" t="s">
        <v>259</v>
      </c>
      <c r="N43" s="92" t="s">
        <v>15</v>
      </c>
      <c r="O43" s="51" t="s">
        <v>16</v>
      </c>
      <c r="P43" s="47" t="s">
        <v>254</v>
      </c>
      <c r="Q43" s="41" t="s">
        <v>255</v>
      </c>
      <c r="R43" s="41" t="s">
        <v>256</v>
      </c>
      <c r="S43" s="41" t="s">
        <v>257</v>
      </c>
      <c r="T43" s="122" t="s">
        <v>258</v>
      </c>
      <c r="U43" s="123" t="s">
        <v>259</v>
      </c>
      <c r="V43" s="92" t="s">
        <v>15</v>
      </c>
      <c r="W43" s="51" t="s">
        <v>16</v>
      </c>
      <c r="X43" s="47" t="s">
        <v>254</v>
      </c>
      <c r="Y43" s="41" t="s">
        <v>255</v>
      </c>
      <c r="Z43" s="41" t="s">
        <v>256</v>
      </c>
      <c r="AA43" s="41" t="s">
        <v>257</v>
      </c>
      <c r="AB43" s="122" t="s">
        <v>258</v>
      </c>
      <c r="AC43" s="122" t="s">
        <v>259</v>
      </c>
      <c r="AD43" s="92" t="s">
        <v>15</v>
      </c>
      <c r="AE43" s="51" t="s">
        <v>16</v>
      </c>
      <c r="AF43" s="47" t="s">
        <v>254</v>
      </c>
      <c r="AG43" s="41" t="s">
        <v>255</v>
      </c>
      <c r="AH43" s="41" t="s">
        <v>256</v>
      </c>
      <c r="AI43" s="41" t="s">
        <v>257</v>
      </c>
      <c r="AJ43" s="122" t="s">
        <v>258</v>
      </c>
      <c r="AK43" s="122" t="s">
        <v>259</v>
      </c>
      <c r="AL43" s="92" t="s">
        <v>15</v>
      </c>
      <c r="AM43" s="51" t="s">
        <v>16</v>
      </c>
    </row>
    <row r="44" spans="1:39">
      <c r="A44" s="1" t="s">
        <v>22</v>
      </c>
      <c r="B44" s="1" t="s">
        <v>23</v>
      </c>
      <c r="C44" s="4" t="s">
        <v>24</v>
      </c>
      <c r="D44" s="1" t="s">
        <v>25</v>
      </c>
      <c r="E44" s="170" t="s">
        <v>26</v>
      </c>
      <c r="F44" s="148"/>
      <c r="G44" s="146"/>
      <c r="H44" s="75"/>
      <c r="I44" s="110"/>
      <c r="J44" s="110"/>
      <c r="K44" s="110"/>
      <c r="L44" s="110"/>
      <c r="M44" s="121"/>
      <c r="N44" s="107"/>
      <c r="O44" s="142"/>
      <c r="P44" s="75"/>
      <c r="Q44" s="110"/>
      <c r="R44" s="110"/>
      <c r="S44" s="110"/>
      <c r="T44" s="110"/>
      <c r="U44" s="121"/>
      <c r="V44" s="107"/>
      <c r="W44" s="142"/>
      <c r="X44" s="75"/>
      <c r="Y44" s="110"/>
      <c r="Z44" s="110"/>
      <c r="AA44" s="110"/>
      <c r="AB44" s="110"/>
      <c r="AC44" s="110"/>
      <c r="AD44" s="107"/>
      <c r="AE44" s="78" t="str">
        <f t="shared" ref="AE44:AE45" si="9">IF(AD44="","",AD44)</f>
        <v/>
      </c>
      <c r="AF44" s="75"/>
      <c r="AG44" s="110"/>
      <c r="AH44" s="110"/>
      <c r="AI44" s="110"/>
      <c r="AJ44" s="110"/>
      <c r="AK44" s="110"/>
      <c r="AL44" s="107"/>
      <c r="AM44" s="142"/>
    </row>
    <row r="45" spans="1:39" ht="16.5" thickBot="1">
      <c r="A45" s="221" t="s">
        <v>282</v>
      </c>
      <c r="B45" s="221" t="s">
        <v>283</v>
      </c>
      <c r="C45" s="221" t="s">
        <v>284</v>
      </c>
      <c r="D45" s="221" t="s">
        <v>287</v>
      </c>
      <c r="E45" s="205">
        <v>12</v>
      </c>
      <c r="F45" s="358">
        <f>N45+V45+AD45+AL45</f>
        <v>60</v>
      </c>
      <c r="G45" s="359">
        <v>40</v>
      </c>
      <c r="H45" s="75">
        <v>66.739999999999995</v>
      </c>
      <c r="I45" s="270">
        <v>0</v>
      </c>
      <c r="J45" s="110">
        <v>0</v>
      </c>
      <c r="K45" s="110">
        <v>4</v>
      </c>
      <c r="L45" s="110">
        <v>0</v>
      </c>
      <c r="M45" s="121">
        <v>4</v>
      </c>
      <c r="N45" s="108">
        <v>20</v>
      </c>
      <c r="O45" s="142">
        <f>N45</f>
        <v>20</v>
      </c>
      <c r="P45" s="75"/>
      <c r="Q45" s="110"/>
      <c r="R45" s="110"/>
      <c r="S45" s="110"/>
      <c r="T45" s="110"/>
      <c r="U45" s="121"/>
      <c r="V45" s="108"/>
      <c r="W45" s="143"/>
      <c r="X45" s="75">
        <v>65.83</v>
      </c>
      <c r="Y45" s="110">
        <v>0</v>
      </c>
      <c r="Z45" s="110">
        <v>0.8</v>
      </c>
      <c r="AA45" s="110">
        <v>12</v>
      </c>
      <c r="AB45" s="110">
        <v>0</v>
      </c>
      <c r="AC45" s="121">
        <f t="shared" ref="AC45" si="10">IF(SUM(Y45:AB45)=0,"",SUM(Y45:AB45))</f>
        <v>12.8</v>
      </c>
      <c r="AD45" s="108">
        <v>20</v>
      </c>
      <c r="AE45" s="78">
        <f t="shared" si="9"/>
        <v>20</v>
      </c>
      <c r="AF45" s="75">
        <f>100-32.9</f>
        <v>67.099999999999994</v>
      </c>
      <c r="AG45" s="110">
        <v>0</v>
      </c>
      <c r="AH45" s="110">
        <v>0</v>
      </c>
      <c r="AI45" s="110">
        <v>16</v>
      </c>
      <c r="AJ45" s="110">
        <v>0</v>
      </c>
      <c r="AK45" s="110">
        <v>48.9</v>
      </c>
      <c r="AL45" s="108">
        <v>20</v>
      </c>
      <c r="AM45" s="143">
        <v>20</v>
      </c>
    </row>
    <row r="46" spans="1:39" ht="16.5" thickBot="1">
      <c r="F46" s="7"/>
      <c r="G46" s="7"/>
    </row>
    <row r="47" spans="1:39" ht="24" thickBot="1">
      <c r="A47" s="7"/>
      <c r="B47" s="7"/>
      <c r="C47" s="7"/>
      <c r="D47" s="7"/>
      <c r="E47" s="7"/>
      <c r="F47" s="124"/>
      <c r="G47" s="124"/>
      <c r="H47" s="435" t="s">
        <v>467</v>
      </c>
      <c r="I47" s="436"/>
      <c r="J47" s="436"/>
      <c r="K47" s="436"/>
      <c r="L47" s="436"/>
      <c r="M47" s="436"/>
      <c r="N47" s="436"/>
      <c r="O47" s="437"/>
      <c r="P47" s="410" t="s">
        <v>480</v>
      </c>
      <c r="Q47" s="411"/>
      <c r="R47" s="411"/>
      <c r="S47" s="411"/>
      <c r="T47" s="411"/>
      <c r="U47" s="411"/>
      <c r="V47" s="411"/>
      <c r="W47" s="412"/>
      <c r="X47" s="390" t="s">
        <v>481</v>
      </c>
      <c r="Y47" s="391"/>
      <c r="Z47" s="391"/>
      <c r="AA47" s="391"/>
      <c r="AB47" s="391"/>
      <c r="AC47" s="391"/>
      <c r="AD47" s="391"/>
      <c r="AE47" s="430"/>
      <c r="AF47" s="431" t="s">
        <v>252</v>
      </c>
      <c r="AG47" s="432"/>
      <c r="AH47" s="432"/>
      <c r="AI47" s="432"/>
      <c r="AJ47" s="432"/>
      <c r="AK47" s="432"/>
      <c r="AL47" s="432"/>
      <c r="AM47" s="433"/>
    </row>
    <row r="48" spans="1:39" ht="47.25">
      <c r="A48" s="416" t="s">
        <v>288</v>
      </c>
      <c r="B48" s="409"/>
      <c r="C48" s="409"/>
      <c r="D48" s="409"/>
      <c r="E48" s="434"/>
      <c r="F48" s="117" t="s">
        <v>9</v>
      </c>
      <c r="G48" s="51" t="s">
        <v>10</v>
      </c>
      <c r="H48" s="47" t="s">
        <v>254</v>
      </c>
      <c r="I48" s="41" t="s">
        <v>255</v>
      </c>
      <c r="J48" s="41" t="s">
        <v>256</v>
      </c>
      <c r="K48" s="41" t="s">
        <v>257</v>
      </c>
      <c r="L48" s="122" t="s">
        <v>258</v>
      </c>
      <c r="M48" s="123" t="s">
        <v>259</v>
      </c>
      <c r="N48" s="92" t="s">
        <v>15</v>
      </c>
      <c r="O48" s="51" t="s">
        <v>16</v>
      </c>
      <c r="P48" s="47" t="s">
        <v>254</v>
      </c>
      <c r="Q48" s="41" t="s">
        <v>255</v>
      </c>
      <c r="R48" s="41" t="s">
        <v>256</v>
      </c>
      <c r="S48" s="41" t="s">
        <v>257</v>
      </c>
      <c r="T48" s="122" t="s">
        <v>258</v>
      </c>
      <c r="U48" s="123" t="s">
        <v>259</v>
      </c>
      <c r="V48" s="92" t="s">
        <v>15</v>
      </c>
      <c r="W48" s="51" t="s">
        <v>16</v>
      </c>
      <c r="X48" s="47" t="s">
        <v>254</v>
      </c>
      <c r="Y48" s="41" t="s">
        <v>255</v>
      </c>
      <c r="Z48" s="41" t="s">
        <v>256</v>
      </c>
      <c r="AA48" s="41" t="s">
        <v>257</v>
      </c>
      <c r="AB48" s="122" t="s">
        <v>258</v>
      </c>
      <c r="AC48" s="122" t="s">
        <v>259</v>
      </c>
      <c r="AD48" s="92" t="s">
        <v>15</v>
      </c>
      <c r="AE48" s="51" t="s">
        <v>16</v>
      </c>
      <c r="AF48" s="47" t="s">
        <v>254</v>
      </c>
      <c r="AG48" s="41" t="s">
        <v>255</v>
      </c>
      <c r="AH48" s="41" t="s">
        <v>256</v>
      </c>
      <c r="AI48" s="41" t="s">
        <v>257</v>
      </c>
      <c r="AJ48" s="122" t="s">
        <v>258</v>
      </c>
      <c r="AK48" s="122" t="s">
        <v>259</v>
      </c>
      <c r="AL48" s="92" t="s">
        <v>15</v>
      </c>
      <c r="AM48" s="51" t="s">
        <v>16</v>
      </c>
    </row>
    <row r="49" spans="1:39">
      <c r="A49" s="1" t="s">
        <v>22</v>
      </c>
      <c r="B49" s="1" t="s">
        <v>23</v>
      </c>
      <c r="C49" s="4" t="s">
        <v>24</v>
      </c>
      <c r="D49" s="1" t="s">
        <v>25</v>
      </c>
      <c r="E49" s="170" t="s">
        <v>26</v>
      </c>
      <c r="F49" s="148"/>
      <c r="G49" s="146"/>
      <c r="H49" s="75"/>
      <c r="I49" s="110"/>
      <c r="J49" s="110"/>
      <c r="K49" s="110"/>
      <c r="L49" s="110"/>
      <c r="M49" s="121"/>
      <c r="N49" s="107"/>
      <c r="O49" s="142"/>
      <c r="P49" s="75"/>
      <c r="Q49" s="110"/>
      <c r="R49" s="110"/>
      <c r="S49" s="110"/>
      <c r="T49" s="110"/>
      <c r="U49" s="121"/>
      <c r="V49" s="107"/>
      <c r="W49" s="142"/>
      <c r="X49" s="75"/>
      <c r="Y49" s="110"/>
      <c r="Z49" s="110"/>
      <c r="AA49" s="110"/>
      <c r="AB49" s="110"/>
      <c r="AC49" s="110"/>
      <c r="AD49" s="107"/>
      <c r="AE49" s="78" t="str">
        <f t="shared" ref="AE49:AE50" si="11">IF(AD49="","",AD49)</f>
        <v/>
      </c>
      <c r="AF49" s="75"/>
      <c r="AG49" s="110"/>
      <c r="AH49" s="110"/>
      <c r="AI49" s="110"/>
      <c r="AJ49" s="110"/>
      <c r="AK49" s="110"/>
      <c r="AL49" s="107"/>
      <c r="AM49" s="142"/>
    </row>
    <row r="50" spans="1:39" ht="16.5" thickBot="1">
      <c r="A50" s="2"/>
      <c r="B50" s="2"/>
      <c r="C50" s="5"/>
      <c r="D50" s="2"/>
      <c r="E50" s="5"/>
      <c r="F50" s="358">
        <f>N50+V50+AD50+AL50</f>
        <v>0</v>
      </c>
      <c r="G50" s="145"/>
      <c r="H50" s="75"/>
      <c r="I50" s="110"/>
      <c r="J50" s="110"/>
      <c r="K50" s="110"/>
      <c r="L50" s="110"/>
      <c r="M50" s="121"/>
      <c r="N50" s="108"/>
      <c r="O50" s="143"/>
      <c r="P50" s="75"/>
      <c r="Q50" s="110"/>
      <c r="R50" s="110"/>
      <c r="S50" s="110"/>
      <c r="T50" s="110"/>
      <c r="U50" s="121"/>
      <c r="V50" s="108"/>
      <c r="W50" s="143"/>
      <c r="X50" s="75"/>
      <c r="Y50" s="110"/>
      <c r="Z50" s="110"/>
      <c r="AA50" s="110"/>
      <c r="AB50" s="110"/>
      <c r="AC50" s="110"/>
      <c r="AD50" s="108"/>
      <c r="AE50" s="78" t="str">
        <f t="shared" si="11"/>
        <v/>
      </c>
      <c r="AF50" s="75"/>
      <c r="AG50" s="110"/>
      <c r="AH50" s="110"/>
      <c r="AI50" s="110"/>
      <c r="AJ50" s="110"/>
      <c r="AK50" s="110"/>
      <c r="AL50" s="108"/>
      <c r="AM50" s="143"/>
    </row>
    <row r="51" spans="1:39">
      <c r="F51" s="7"/>
      <c r="G51" s="7"/>
    </row>
    <row r="52" spans="1:39">
      <c r="F52" s="7"/>
      <c r="G52" s="7"/>
    </row>
    <row r="53" spans="1:39">
      <c r="F53" s="7"/>
      <c r="G53" s="7"/>
    </row>
    <row r="54" spans="1:39">
      <c r="F54" s="7"/>
      <c r="G54" s="7"/>
    </row>
    <row r="56" spans="1:39">
      <c r="H56" s="9"/>
      <c r="I56" s="9"/>
      <c r="L56" s="9"/>
      <c r="M56" s="9"/>
      <c r="Q56" s="9"/>
      <c r="R56" s="9"/>
      <c r="U56" s="9"/>
      <c r="V56" s="9"/>
      <c r="W56" s="9"/>
    </row>
    <row r="57" spans="1:39">
      <c r="F57" s="6"/>
      <c r="G57" s="6"/>
    </row>
    <row r="58" spans="1:39">
      <c r="F58" s="7"/>
      <c r="G58" s="7"/>
    </row>
    <row r="59" spans="1:39">
      <c r="F59" s="7"/>
      <c r="G59" s="7"/>
    </row>
    <row r="60" spans="1:39">
      <c r="F60" s="7"/>
      <c r="G60" s="7"/>
    </row>
    <row r="61" spans="1:39">
      <c r="F61" s="7"/>
      <c r="G61" s="7"/>
    </row>
    <row r="62" spans="1:39">
      <c r="F62" s="7"/>
      <c r="G62" s="7"/>
    </row>
    <row r="63" spans="1:39">
      <c r="F63" s="7"/>
      <c r="G63" s="7"/>
    </row>
    <row r="64" spans="1:39">
      <c r="F64" s="7"/>
      <c r="G64" s="7"/>
    </row>
    <row r="66" spans="6:23">
      <c r="H66" s="9"/>
      <c r="I66" s="9"/>
      <c r="L66" s="9"/>
      <c r="M66" s="9"/>
      <c r="Q66" s="9"/>
      <c r="R66" s="9"/>
      <c r="U66" s="9"/>
      <c r="V66" s="9"/>
      <c r="W66" s="9"/>
    </row>
    <row r="67" spans="6:23">
      <c r="F67" s="6"/>
      <c r="G67" s="6"/>
    </row>
    <row r="68" spans="6:23">
      <c r="F68" s="7"/>
      <c r="G68" s="7"/>
    </row>
    <row r="69" spans="6:23">
      <c r="F69" s="7"/>
      <c r="G69" s="7"/>
    </row>
    <row r="70" spans="6:23">
      <c r="F70" s="7"/>
      <c r="G70" s="7"/>
    </row>
    <row r="71" spans="6:23">
      <c r="F71" s="7"/>
      <c r="G71" s="7"/>
    </row>
  </sheetData>
  <protectedRanges>
    <protectedRange algorithmName="SHA-512" hashValue="Bl55MZj0cAqUqTsmKqKQ8GjYk3z4r6sHC6GjzmBjr6bDBl+Gt4qfajFFbigrPAXyjSmBZ+XipVR00qWHQUUL2w==" saltValue="vFo3gsO1ur+Yqg/JT+qeQg==" spinCount="100000" sqref="A1:XFD6 E8:AD8 A35:E35 A38:E38 E36 A37:B37 D37:E37 A25:B25 A7:AD7 A27:AD27 AF7:XFD27 A31:AD31 AF44:XFD45 A51:XFD1048576 A49:AD50 AF49:XFD50 F9:AD12 F16:AB17 AC13:AD26 E39:E40 A28:XFD30 A41:XFD43 A46:XFD48 E15:AB15 E18:AB24 D25:AB25 E26:AB26 A44:AD45 F13:AB14 AF31:XFD40 F32:AD40" name="Range1"/>
    <protectedRange algorithmName="SHA-512" hashValue="Apnk9LEbYxRpSZcjU97H6doUg/5csDURqMcDtbiOpYdX3f6l5Yvzsxaqv13NMtippi1Z0/Pw9Etvtktb0idoXQ==" saltValue="0XBid9/n7HrDOp1hu6OxVA==" spinCount="100000" sqref="A9:D9" name="Range1_3"/>
    <protectedRange algorithmName="SHA-512" hashValue="Apnk9LEbYxRpSZcjU97H6doUg/5csDURqMcDtbiOpYdX3f6l5Yvzsxaqv13NMtippi1Z0/Pw9Etvtktb0idoXQ==" saltValue="0XBid9/n7HrDOp1hu6OxVA==" spinCount="100000" sqref="A10:D10" name="Range1_4"/>
    <protectedRange algorithmName="SHA-512" hashValue="Apnk9LEbYxRpSZcjU97H6doUg/5csDURqMcDtbiOpYdX3f6l5Yvzsxaqv13NMtippi1Z0/Pw9Etvtktb0idoXQ==" saltValue="0XBid9/n7HrDOp1hu6OxVA==" spinCount="100000" sqref="A11:B11 D11" name="Range1_5"/>
    <protectedRange algorithmName="SHA-512" hashValue="Apnk9LEbYxRpSZcjU97H6doUg/5csDURqMcDtbiOpYdX3f6l5Yvzsxaqv13NMtippi1Z0/Pw9Etvtktb0idoXQ==" saltValue="0XBid9/n7HrDOp1hu6OxVA==" spinCount="100000" sqref="C11" name="Range1_1_1"/>
    <protectedRange algorithmName="SHA-512" hashValue="Apnk9LEbYxRpSZcjU97H6doUg/5csDURqMcDtbiOpYdX3f6l5Yvzsxaqv13NMtippi1Z0/Pw9Etvtktb0idoXQ==" saltValue="0XBid9/n7HrDOp1hu6OxVA==" spinCount="100000" sqref="A12:D12" name="Range1_6"/>
    <protectedRange algorithmName="SHA-512" hashValue="Apnk9LEbYxRpSZcjU97H6doUg/5csDURqMcDtbiOpYdX3f6l5Yvzsxaqv13NMtippi1Z0/Pw9Etvtktb0idoXQ==" saltValue="0XBid9/n7HrDOp1hu6OxVA==" spinCount="100000" sqref="A13:D13" name="Range1_7"/>
    <protectedRange algorithmName="SHA-512" hashValue="NAZD3qgxdrlzabacLBE6e7h5ZmXY7wxINVLTXmDWPfUES+YR2V1HNj/E15OhYFiJLVmWPKJ0egYjXUfTOKONZg==" saltValue="Ncxfyc7xk9aUc4+aZopcog==" spinCount="100000" sqref="D14" name="Range1_8"/>
    <protectedRange algorithmName="SHA-512" hashValue="Apnk9LEbYxRpSZcjU97H6doUg/5csDURqMcDtbiOpYdX3f6l5Yvzsxaqv13NMtippi1Z0/Pw9Etvtktb0idoXQ==" saltValue="0XBid9/n7HrDOp1hu6OxVA==" spinCount="100000" sqref="A14:C14" name="Range1_10"/>
    <protectedRange algorithmName="SHA-512" hashValue="Apnk9LEbYxRpSZcjU97H6doUg/5csDURqMcDtbiOpYdX3f6l5Yvzsxaqv13NMtippi1Z0/Pw9Etvtktb0idoXQ==" saltValue="0XBid9/n7HrDOp1hu6OxVA==" spinCount="100000" sqref="A15:B15 D15" name="Range1_9"/>
    <protectedRange algorithmName="SHA-512" hashValue="Apnk9LEbYxRpSZcjU97H6doUg/5csDURqMcDtbiOpYdX3f6l5Yvzsxaqv13NMtippi1Z0/Pw9Etvtktb0idoXQ==" saltValue="0XBid9/n7HrDOp1hu6OxVA==" spinCount="100000" sqref="C15" name="Range1_10_1"/>
    <protectedRange algorithmName="SHA-512" hashValue="Apnk9LEbYxRpSZcjU97H6doUg/5csDURqMcDtbiOpYdX3f6l5Yvzsxaqv13NMtippi1Z0/Pw9Etvtktb0idoXQ==" saltValue="0XBid9/n7HrDOp1hu6OxVA==" spinCount="100000" sqref="A16:D16" name="Range1_12"/>
    <protectedRange algorithmName="SHA-512" hashValue="Apnk9LEbYxRpSZcjU97H6doUg/5csDURqMcDtbiOpYdX3f6l5Yvzsxaqv13NMtippi1Z0/Pw9Etvtktb0idoXQ==" saltValue="0XBid9/n7HrDOp1hu6OxVA==" spinCount="100000" sqref="E9" name="Range1_13"/>
    <protectedRange algorithmName="SHA-512" hashValue="gd6M1j8R2Vcbfm85n99c1D0xjmQvjBlg34UZhxeJx1NLSFqB74OeW1e3isf5ACnAc8NEYyF7OwgEUMDCcurwNA==" saltValue="t3zYNUJUDTdmjGFelNhf8w==" spinCount="100000" sqref="E10" name="Range1_15"/>
    <protectedRange algorithmName="SHA-512" hashValue="gd6M1j8R2Vcbfm85n99c1D0xjmQvjBlg34UZhxeJx1NLSFqB74OeW1e3isf5ACnAc8NEYyF7OwgEUMDCcurwNA==" saltValue="t3zYNUJUDTdmjGFelNhf8w==" spinCount="100000" sqref="E11" name="Range1_16"/>
    <protectedRange algorithmName="SHA-512" hashValue="Apnk9LEbYxRpSZcjU97H6doUg/5csDURqMcDtbiOpYdX3f6l5Yvzsxaqv13NMtippi1Z0/Pw9Etvtktb0idoXQ==" saltValue="0XBid9/n7HrDOp1hu6OxVA==" spinCount="100000" sqref="E12" name="Range1_17"/>
    <protectedRange algorithmName="SHA-512" hashValue="gd6M1j8R2Vcbfm85n99c1D0xjmQvjBlg34UZhxeJx1NLSFqB74OeW1e3isf5ACnAc8NEYyF7OwgEUMDCcurwNA==" saltValue="t3zYNUJUDTdmjGFelNhf8w==" spinCount="100000" sqref="E13" name="Range1_18"/>
    <protectedRange algorithmName="SHA-512" hashValue="gd6M1j8R2Vcbfm85n99c1D0xjmQvjBlg34UZhxeJx1NLSFqB74OeW1e3isf5ACnAc8NEYyF7OwgEUMDCcurwNA==" saltValue="t3zYNUJUDTdmjGFelNhf8w==" spinCount="100000" sqref="E14" name="Range1_19"/>
    <protectedRange algorithmName="SHA-512" hashValue="Apnk9LEbYxRpSZcjU97H6doUg/5csDURqMcDtbiOpYdX3f6l5Yvzsxaqv13NMtippi1Z0/Pw9Etvtktb0idoXQ==" saltValue="0XBid9/n7HrDOp1hu6OxVA==" spinCount="100000" sqref="E16" name="Range1_21"/>
    <protectedRange algorithmName="SHA-512" hashValue="Apnk9LEbYxRpSZcjU97H6doUg/5csDURqMcDtbiOpYdX3f6l5Yvzsxaqv13NMtippi1Z0/Pw9Etvtktb0idoXQ==" saltValue="0XBid9/n7HrDOp1hu6OxVA==" spinCount="100000" sqref="A32:E32" name="Range1_22"/>
    <protectedRange algorithmName="SHA-512" hashValue="Apnk9LEbYxRpSZcjU97H6doUg/5csDURqMcDtbiOpYdX3f6l5Yvzsxaqv13NMtippi1Z0/Pw9Etvtktb0idoXQ==" saltValue="0XBid9/n7HrDOp1hu6OxVA==" spinCount="100000" sqref="A17:E17" name="Range1_23"/>
    <protectedRange algorithmName="SHA-512" hashValue="Apnk9LEbYxRpSZcjU97H6doUg/5csDURqMcDtbiOpYdX3f6l5Yvzsxaqv13NMtippi1Z0/Pw9Etvtktb0idoXQ==" saltValue="0XBid9/n7HrDOp1hu6OxVA==" spinCount="100000" sqref="A18:D18 A40:D40" name="Range1_47"/>
    <protectedRange algorithmName="SHA-512" hashValue="Apnk9LEbYxRpSZcjU97H6doUg/5csDURqMcDtbiOpYdX3f6l5Yvzsxaqv13NMtippi1Z0/Pw9Etvtktb0idoXQ==" saltValue="0XBid9/n7HrDOp1hu6OxVA==" spinCount="100000" sqref="A19:D19" name="Range1_1"/>
    <protectedRange algorithmName="SHA-512" hashValue="Apnk9LEbYxRpSZcjU97H6doUg/5csDURqMcDtbiOpYdX3f6l5Yvzsxaqv13NMtippi1Z0/Pw9Etvtktb0idoXQ==" saltValue="0XBid9/n7HrDOp1hu6OxVA==" spinCount="100000" sqref="A20:D20" name="Range1_63"/>
    <protectedRange algorithmName="SHA-512" hashValue="Apnk9LEbYxRpSZcjU97H6doUg/5csDURqMcDtbiOpYdX3f6l5Yvzsxaqv13NMtippi1Z0/Pw9Etvtktb0idoXQ==" saltValue="0XBid9/n7HrDOp1hu6OxVA==" spinCount="100000" sqref="A21:D22 C23" name="Range1_64"/>
    <protectedRange algorithmName="SHA-512" hashValue="gd6M1j8R2Vcbfm85n99c1D0xjmQvjBlg34UZhxeJx1NLSFqB74OeW1e3isf5ACnAc8NEYyF7OwgEUMDCcurwNA==" saltValue="t3zYNUJUDTdmjGFelNhf8w==" spinCount="100000" sqref="A36:D36" name="Range1_2"/>
    <protectedRange algorithmName="SHA-512" hashValue="Apnk9LEbYxRpSZcjU97H6doUg/5csDURqMcDtbiOpYdX3f6l5Yvzsxaqv13NMtippi1Z0/Pw9Etvtktb0idoXQ==" saltValue="0XBid9/n7HrDOp1hu6OxVA==" spinCount="100000" sqref="A24:D24 C25" name="Range1_11"/>
    <protectedRange algorithmName="SHA-512" hashValue="Apnk9LEbYxRpSZcjU97H6doUg/5csDURqMcDtbiOpYdX3f6l5Yvzsxaqv13NMtippi1Z0/Pw9Etvtktb0idoXQ==" saltValue="0XBid9/n7HrDOp1hu6OxVA==" spinCount="100000" sqref="C37" name="Range1_15_1"/>
    <protectedRange algorithmName="SHA-512" hashValue="gd6M1j8R2Vcbfm85n99c1D0xjmQvjBlg34UZhxeJx1NLSFqB74OeW1e3isf5ACnAc8NEYyF7OwgEUMDCcurwNA==" saltValue="t3zYNUJUDTdmjGFelNhf8w==" spinCount="100000" sqref="AE7:AE27 AE31:AE40 AE44:AE45 AE49:AE50" name="Range1_14"/>
    <protectedRange algorithmName="SHA-512" hashValue="Apnk9LEbYxRpSZcjU97H6doUg/5csDURqMcDtbiOpYdX3f6l5Yvzsxaqv13NMtippi1Z0/Pw9Etvtktb0idoXQ==" saltValue="0XBid9/n7HrDOp1hu6OxVA==" spinCount="100000" sqref="A26:D26" name="Range1_22_1"/>
  </protectedRanges>
  <sortState xmlns:xlrd2="http://schemas.microsoft.com/office/spreadsheetml/2017/richdata2" ref="A32:AM37">
    <sortCondition ref="A32:A37"/>
  </sortState>
  <mergeCells count="21">
    <mergeCell ref="A3:D3"/>
    <mergeCell ref="H29:O29"/>
    <mergeCell ref="H42:O42"/>
    <mergeCell ref="P29:W29"/>
    <mergeCell ref="P42:W42"/>
    <mergeCell ref="A6:E6"/>
    <mergeCell ref="A30:E30"/>
    <mergeCell ref="X47:AE47"/>
    <mergeCell ref="AF47:AM47"/>
    <mergeCell ref="A48:E48"/>
    <mergeCell ref="A43:E43"/>
    <mergeCell ref="H5:O5"/>
    <mergeCell ref="P5:W5"/>
    <mergeCell ref="H47:O47"/>
    <mergeCell ref="P47:W47"/>
    <mergeCell ref="AF5:AM5"/>
    <mergeCell ref="AF29:AM29"/>
    <mergeCell ref="AF42:AM42"/>
    <mergeCell ref="X5:AE5"/>
    <mergeCell ref="X29:AE29"/>
    <mergeCell ref="X42:AE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E00B-2699-9E43-B33B-8DD00A66D2CD}">
  <sheetPr>
    <pageSetUpPr fitToPage="1"/>
  </sheetPr>
  <dimension ref="A3:AN146"/>
  <sheetViews>
    <sheetView zoomScale="70" zoomScaleNormal="70" workbookViewId="0">
      <pane xSplit="7" ySplit="5" topLeftCell="S130" activePane="bottomRight" state="frozen"/>
      <selection pane="topRight" activeCell="H1" sqref="H1"/>
      <selection pane="bottomLeft" activeCell="A6" sqref="A6"/>
      <selection pane="bottomRight" activeCell="V33" sqref="V33"/>
    </sheetView>
  </sheetViews>
  <sheetFormatPr defaultColWidth="11.25" defaultRowHeight="15.75" outlineLevelCol="1"/>
  <cols>
    <col min="1" max="1" width="15.5" customWidth="1"/>
    <col min="2" max="2" width="16" customWidth="1"/>
    <col min="3" max="3" width="27" customWidth="1"/>
    <col min="4" max="4" width="38.75" customWidth="1"/>
    <col min="5" max="5" width="12.125" hidden="1" customWidth="1"/>
    <col min="6" max="6" width="10.25" bestFit="1" customWidth="1"/>
    <col min="7" max="7" width="10.25" customWidth="1"/>
    <col min="8" max="8" width="14.75" customWidth="1" outlineLevel="1"/>
    <col min="9" max="9" width="13.75" customWidth="1" outlineLevel="1"/>
    <col min="10" max="11" width="11.25" customWidth="1" outlineLevel="1"/>
    <col min="14" max="16" width="11.25" customWidth="1" outlineLevel="1"/>
    <col min="17" max="17" width="11.25" style="285" customWidth="1" outlineLevel="1"/>
    <col min="20" max="23" width="11.25" customWidth="1" outlineLevel="1"/>
    <col min="26" max="31" width="0" hidden="1" customWidth="1"/>
    <col min="32" max="35" width="11.25" customWidth="1" outlineLevel="1"/>
    <col min="38" max="38" width="0" hidden="1" customWidth="1"/>
    <col min="39" max="39" width="59.25" hidden="1" customWidth="1"/>
  </cols>
  <sheetData>
    <row r="3" spans="1:39" ht="29.25" thickBot="1">
      <c r="A3" s="413" t="s">
        <v>289</v>
      </c>
      <c r="B3" s="413"/>
      <c r="C3" s="413"/>
      <c r="D3" s="413"/>
      <c r="E3" s="438"/>
    </row>
    <row r="4" spans="1:39" ht="24" thickBot="1">
      <c r="H4" s="418" t="s">
        <v>290</v>
      </c>
      <c r="I4" s="441"/>
      <c r="J4" s="441"/>
      <c r="K4" s="441"/>
      <c r="L4" s="441"/>
      <c r="M4" s="58"/>
      <c r="N4" s="442" t="s">
        <v>291</v>
      </c>
      <c r="O4" s="442"/>
      <c r="P4" s="442"/>
      <c r="Q4" s="442"/>
      <c r="R4" s="442"/>
      <c r="S4" s="60"/>
      <c r="T4" s="390" t="s">
        <v>292</v>
      </c>
      <c r="U4" s="391"/>
      <c r="V4" s="391"/>
      <c r="W4" s="391"/>
      <c r="X4" s="391"/>
      <c r="Y4" s="199"/>
      <c r="Z4" s="427" t="s">
        <v>293</v>
      </c>
      <c r="AA4" s="443"/>
      <c r="AB4" s="443"/>
      <c r="AC4" s="443"/>
      <c r="AD4" s="443"/>
      <c r="AE4" s="198"/>
      <c r="AF4" s="402" t="s">
        <v>294</v>
      </c>
      <c r="AG4" s="442"/>
      <c r="AH4" s="442"/>
      <c r="AI4" s="442"/>
      <c r="AJ4" s="442"/>
      <c r="AK4" s="60"/>
    </row>
    <row r="5" spans="1:39" s="43" customFormat="1" ht="47.25">
      <c r="A5" s="416" t="s">
        <v>295</v>
      </c>
      <c r="B5" s="409"/>
      <c r="C5" s="409"/>
      <c r="D5" s="409"/>
      <c r="E5" s="440"/>
      <c r="F5" s="92" t="s">
        <v>15</v>
      </c>
      <c r="G5" s="51" t="s">
        <v>16</v>
      </c>
      <c r="H5" s="59" t="s">
        <v>296</v>
      </c>
      <c r="I5" s="55" t="s">
        <v>11</v>
      </c>
      <c r="J5" s="61" t="s">
        <v>12</v>
      </c>
      <c r="K5" s="62" t="s">
        <v>297</v>
      </c>
      <c r="L5" s="87" t="s">
        <v>15</v>
      </c>
      <c r="M5" s="57" t="s">
        <v>298</v>
      </c>
      <c r="N5" s="282" t="s">
        <v>296</v>
      </c>
      <c r="O5" s="248" t="s">
        <v>11</v>
      </c>
      <c r="P5" s="248" t="s">
        <v>12</v>
      </c>
      <c r="Q5" s="286" t="s">
        <v>297</v>
      </c>
      <c r="R5" s="87" t="s">
        <v>15</v>
      </c>
      <c r="S5" s="57" t="s">
        <v>298</v>
      </c>
      <c r="T5" s="282" t="s">
        <v>296</v>
      </c>
      <c r="U5" s="248" t="s">
        <v>11</v>
      </c>
      <c r="V5" s="248" t="s">
        <v>12</v>
      </c>
      <c r="W5" s="281" t="s">
        <v>297</v>
      </c>
      <c r="X5" s="87" t="s">
        <v>15</v>
      </c>
      <c r="Y5" s="57" t="s">
        <v>298</v>
      </c>
      <c r="Z5" s="54" t="s">
        <v>296</v>
      </c>
      <c r="AA5" s="55" t="s">
        <v>11</v>
      </c>
      <c r="AB5" s="61" t="s">
        <v>12</v>
      </c>
      <c r="AC5" s="62" t="s">
        <v>297</v>
      </c>
      <c r="AD5" s="91" t="s">
        <v>15</v>
      </c>
      <c r="AE5" s="57" t="s">
        <v>298</v>
      </c>
      <c r="AF5" s="54" t="s">
        <v>296</v>
      </c>
      <c r="AG5" s="55" t="s">
        <v>11</v>
      </c>
      <c r="AH5" s="61" t="s">
        <v>12</v>
      </c>
      <c r="AI5" s="62" t="s">
        <v>297</v>
      </c>
      <c r="AJ5" s="332" t="s">
        <v>15</v>
      </c>
      <c r="AK5" s="51" t="s">
        <v>298</v>
      </c>
      <c r="AL5" s="43">
        <v>45</v>
      </c>
    </row>
    <row r="6" spans="1:39">
      <c r="A6" s="1" t="s">
        <v>22</v>
      </c>
      <c r="B6" s="1" t="s">
        <v>23</v>
      </c>
      <c r="C6" s="1" t="s">
        <v>24</v>
      </c>
      <c r="D6" s="1" t="s">
        <v>25</v>
      </c>
      <c r="E6" s="170" t="s">
        <v>26</v>
      </c>
      <c r="F6" s="93"/>
      <c r="G6" s="95"/>
      <c r="H6" s="19"/>
      <c r="I6" s="3"/>
      <c r="J6" s="3"/>
      <c r="K6" s="11"/>
      <c r="L6" s="88"/>
      <c r="M6" s="78"/>
      <c r="N6" s="283">
        <v>0</v>
      </c>
      <c r="O6" s="19">
        <v>0</v>
      </c>
      <c r="P6" s="19">
        <v>0</v>
      </c>
      <c r="Q6" s="287">
        <v>0</v>
      </c>
      <c r="R6" s="88">
        <v>0</v>
      </c>
      <c r="S6" s="78"/>
      <c r="T6" s="15"/>
      <c r="U6" s="3"/>
      <c r="V6" s="3"/>
      <c r="W6" s="11"/>
      <c r="X6" s="88"/>
      <c r="Y6" s="78"/>
      <c r="Z6" s="15"/>
      <c r="AA6" s="3"/>
      <c r="AB6" s="3"/>
      <c r="AC6" s="11"/>
      <c r="AD6" s="88"/>
      <c r="AE6" s="78"/>
      <c r="AF6" s="15"/>
      <c r="AG6" s="3"/>
      <c r="AH6" s="3"/>
      <c r="AI6" s="11"/>
      <c r="AJ6" s="88"/>
      <c r="AK6" s="78"/>
      <c r="AL6" s="280" t="s">
        <v>492</v>
      </c>
      <c r="AM6" t="str">
        <f>A6&amp;B6&amp;D6&amp;AL6&amp;$AL$5</f>
        <v>Rider First NameRider Last NameName of Pony/HorsePrimary &lt;745</v>
      </c>
    </row>
    <row r="7" spans="1:39">
      <c r="A7" s="3" t="s">
        <v>27</v>
      </c>
      <c r="B7" s="3" t="s">
        <v>28</v>
      </c>
      <c r="C7" s="212" t="s">
        <v>29</v>
      </c>
      <c r="D7" s="202" t="s">
        <v>30</v>
      </c>
      <c r="E7" s="216">
        <v>6</v>
      </c>
      <c r="F7" s="94">
        <f>SUM(X7,L7,R7,AD7,AJ7)</f>
        <v>19</v>
      </c>
      <c r="G7" s="141"/>
      <c r="H7" s="19">
        <v>61.43</v>
      </c>
      <c r="I7" s="3">
        <v>0</v>
      </c>
      <c r="J7" s="3">
        <v>0</v>
      </c>
      <c r="K7" s="11">
        <f>SUM(I7:J7)</f>
        <v>0</v>
      </c>
      <c r="L7" s="88">
        <v>19</v>
      </c>
      <c r="M7" s="78">
        <v>19</v>
      </c>
      <c r="N7" s="283">
        <v>0.5982142857142857</v>
      </c>
      <c r="O7" s="19">
        <v>0</v>
      </c>
      <c r="P7" s="19">
        <v>0</v>
      </c>
      <c r="Q7" s="287">
        <v>40.178571428571431</v>
      </c>
      <c r="R7" s="88"/>
      <c r="S7" s="78"/>
      <c r="T7" s="283" t="s">
        <v>504</v>
      </c>
      <c r="U7" s="19" t="s">
        <v>495</v>
      </c>
      <c r="V7" s="19" t="s">
        <v>495</v>
      </c>
      <c r="W7" s="287" t="s">
        <v>493</v>
      </c>
      <c r="X7" s="88">
        <v>0</v>
      </c>
      <c r="Y7" s="78"/>
      <c r="Z7" s="15"/>
      <c r="AA7" s="3"/>
      <c r="AB7" s="3"/>
      <c r="AC7" s="11"/>
      <c r="AD7" s="88"/>
      <c r="AE7" s="78"/>
      <c r="AF7" s="15"/>
      <c r="AG7" s="3"/>
      <c r="AH7" s="3"/>
      <c r="AI7" s="11"/>
      <c r="AJ7" s="88"/>
      <c r="AK7" s="78"/>
      <c r="AL7" s="280" t="s">
        <v>492</v>
      </c>
      <c r="AM7" t="str">
        <f t="shared" ref="AM7:AM20" si="0">A7&amp;B7&amp;D7&amp;AL7&amp;$AL$5</f>
        <v>AliSmitSherbert LemonPrimary &lt;745</v>
      </c>
    </row>
    <row r="8" spans="1:39">
      <c r="A8" s="3" t="s">
        <v>302</v>
      </c>
      <c r="B8" s="3" t="s">
        <v>303</v>
      </c>
      <c r="C8" s="202" t="s">
        <v>304</v>
      </c>
      <c r="D8" s="202" t="s">
        <v>305</v>
      </c>
      <c r="E8" s="212">
        <v>4</v>
      </c>
      <c r="F8" s="94">
        <f t="shared" ref="F8:F20" si="1">SUM(X8,L8,R8,AD8,AJ8)</f>
        <v>20</v>
      </c>
      <c r="G8" s="141"/>
      <c r="H8" s="19"/>
      <c r="I8" s="3"/>
      <c r="J8" s="3"/>
      <c r="K8" s="11"/>
      <c r="L8" s="88"/>
      <c r="M8" s="78"/>
      <c r="N8" s="283">
        <v>0.63749999999999996</v>
      </c>
      <c r="O8" s="19">
        <v>12</v>
      </c>
      <c r="P8" s="19">
        <v>6.4</v>
      </c>
      <c r="Q8" s="287">
        <v>54.650000000000006</v>
      </c>
      <c r="R8" s="88">
        <v>0</v>
      </c>
      <c r="S8" s="78"/>
      <c r="T8" s="283">
        <v>0.68664999999999998</v>
      </c>
      <c r="U8" s="19">
        <v>4</v>
      </c>
      <c r="V8" s="19">
        <v>5.6</v>
      </c>
      <c r="W8" s="287">
        <v>40.935000000000002</v>
      </c>
      <c r="X8" s="88"/>
      <c r="Y8" s="78"/>
      <c r="Z8" s="15"/>
      <c r="AA8" s="3"/>
      <c r="AB8" s="3"/>
      <c r="AC8" s="11"/>
      <c r="AD8" s="88"/>
      <c r="AE8" s="78"/>
      <c r="AF8" s="15">
        <v>72.19</v>
      </c>
      <c r="AG8" s="3">
        <v>0.8</v>
      </c>
      <c r="AH8" s="3">
        <v>0.8</v>
      </c>
      <c r="AI8" s="11">
        <v>1.6</v>
      </c>
      <c r="AJ8" s="88">
        <v>20</v>
      </c>
      <c r="AK8" s="78"/>
      <c r="AL8" s="280" t="s">
        <v>492</v>
      </c>
      <c r="AM8" t="str">
        <f t="shared" si="0"/>
        <v>AnnaBlissBamborough LiberachePrimary &lt;745</v>
      </c>
    </row>
    <row r="9" spans="1:39">
      <c r="A9" s="221" t="s">
        <v>310</v>
      </c>
      <c r="B9" s="222" t="s">
        <v>311</v>
      </c>
      <c r="C9" s="225" t="s">
        <v>312</v>
      </c>
      <c r="D9" s="221" t="s">
        <v>313</v>
      </c>
      <c r="E9" s="205"/>
      <c r="F9" s="94">
        <f t="shared" si="1"/>
        <v>0</v>
      </c>
      <c r="G9" s="141"/>
      <c r="H9" s="233">
        <v>58.39</v>
      </c>
      <c r="I9" s="3">
        <v>0</v>
      </c>
      <c r="J9" s="3">
        <v>4</v>
      </c>
      <c r="K9" s="11">
        <f>SUM(I9:J9)</f>
        <v>4</v>
      </c>
      <c r="L9" s="234" t="s">
        <v>31</v>
      </c>
      <c r="M9" s="78"/>
      <c r="N9" s="283">
        <v>0</v>
      </c>
      <c r="O9" s="19">
        <v>0</v>
      </c>
      <c r="P9" s="19">
        <v>0</v>
      </c>
      <c r="Q9" s="287">
        <v>0</v>
      </c>
      <c r="R9" s="88">
        <v>0</v>
      </c>
      <c r="S9" s="78"/>
      <c r="T9" s="283">
        <v>0</v>
      </c>
      <c r="U9" s="19">
        <v>0</v>
      </c>
      <c r="V9" s="19">
        <v>0</v>
      </c>
      <c r="W9" s="287">
        <v>0</v>
      </c>
      <c r="X9" s="88">
        <v>0</v>
      </c>
      <c r="Y9" s="78"/>
      <c r="Z9" s="15"/>
      <c r="AA9" s="3"/>
      <c r="AB9" s="3"/>
      <c r="AC9" s="11"/>
      <c r="AD9" s="88"/>
      <c r="AE9" s="78"/>
      <c r="AF9" s="15"/>
      <c r="AG9" s="3"/>
      <c r="AH9" s="3"/>
      <c r="AI9" s="11"/>
      <c r="AJ9" s="88"/>
      <c r="AK9" s="78"/>
      <c r="AL9" s="280" t="s">
        <v>492</v>
      </c>
      <c r="AM9" t="str">
        <f t="shared" si="0"/>
        <v>BrooklynShepherdCrimson RoyalePrimary &lt;745</v>
      </c>
    </row>
    <row r="10" spans="1:39">
      <c r="A10" s="3" t="s">
        <v>32</v>
      </c>
      <c r="B10" s="3" t="s">
        <v>33</v>
      </c>
      <c r="C10" s="3" t="s">
        <v>34</v>
      </c>
      <c r="D10" s="3" t="s">
        <v>183</v>
      </c>
      <c r="E10" s="171"/>
      <c r="F10" s="94">
        <f t="shared" si="1"/>
        <v>18</v>
      </c>
      <c r="G10" s="213"/>
      <c r="H10" s="19">
        <v>60</v>
      </c>
      <c r="I10" s="3">
        <v>0</v>
      </c>
      <c r="J10" s="3">
        <v>0.8</v>
      </c>
      <c r="K10" s="11">
        <f>SUM(I10:J10)</f>
        <v>0.8</v>
      </c>
      <c r="L10" s="88">
        <v>18</v>
      </c>
      <c r="M10" s="78">
        <v>18</v>
      </c>
      <c r="N10" s="283">
        <v>0</v>
      </c>
      <c r="O10" s="19">
        <v>0</v>
      </c>
      <c r="P10" s="19">
        <v>0</v>
      </c>
      <c r="Q10" s="287">
        <v>0</v>
      </c>
      <c r="R10" s="88">
        <v>0</v>
      </c>
      <c r="S10" s="78"/>
      <c r="T10" s="283">
        <v>0</v>
      </c>
      <c r="U10" s="19">
        <v>0</v>
      </c>
      <c r="V10" s="19">
        <v>0</v>
      </c>
      <c r="W10" s="287">
        <v>0</v>
      </c>
      <c r="X10" s="88">
        <v>0</v>
      </c>
      <c r="Y10" s="78"/>
      <c r="Z10" s="15"/>
      <c r="AA10" s="3"/>
      <c r="AB10" s="3"/>
      <c r="AC10" s="11"/>
      <c r="AD10" s="88"/>
      <c r="AE10" s="78"/>
      <c r="AF10" s="15"/>
      <c r="AG10" s="3"/>
      <c r="AH10" s="3"/>
      <c r="AI10" s="11"/>
      <c r="AJ10" s="88"/>
      <c r="AK10" s="78"/>
      <c r="AL10" s="280" t="s">
        <v>492</v>
      </c>
      <c r="AM10" t="str">
        <f t="shared" si="0"/>
        <v>CarlyRobertsTakodaPrimary &lt;745</v>
      </c>
    </row>
    <row r="11" spans="1:39">
      <c r="A11" s="3" t="s">
        <v>306</v>
      </c>
      <c r="B11" s="3" t="s">
        <v>307</v>
      </c>
      <c r="C11" s="202" t="s">
        <v>308</v>
      </c>
      <c r="D11" s="202" t="s">
        <v>309</v>
      </c>
      <c r="E11" s="216">
        <v>6</v>
      </c>
      <c r="F11" s="94">
        <f t="shared" si="1"/>
        <v>23</v>
      </c>
      <c r="G11" s="141"/>
      <c r="H11" s="19"/>
      <c r="I11" s="3"/>
      <c r="J11" s="3"/>
      <c r="K11" s="11"/>
      <c r="L11" s="88"/>
      <c r="M11" s="78"/>
      <c r="N11" s="283">
        <v>0.58750000000000002</v>
      </c>
      <c r="O11" s="19">
        <v>0</v>
      </c>
      <c r="P11" s="19">
        <v>0</v>
      </c>
      <c r="Q11" s="287">
        <v>41.25</v>
      </c>
      <c r="R11" s="88"/>
      <c r="S11" s="78"/>
      <c r="T11" s="283">
        <v>0.02</v>
      </c>
      <c r="U11" s="19">
        <v>0</v>
      </c>
      <c r="V11" s="19">
        <v>0.8</v>
      </c>
      <c r="W11" s="287">
        <v>40.71</v>
      </c>
      <c r="X11" s="88">
        <v>23</v>
      </c>
      <c r="Y11" s="78">
        <v>18</v>
      </c>
      <c r="Z11" s="15"/>
      <c r="AA11" s="3"/>
      <c r="AB11" s="3"/>
      <c r="AC11" s="11"/>
      <c r="AD11" s="88"/>
      <c r="AE11" s="78"/>
      <c r="AF11" s="15">
        <v>68.13</v>
      </c>
      <c r="AG11" s="3">
        <v>0</v>
      </c>
      <c r="AH11" s="3">
        <v>12</v>
      </c>
      <c r="AI11" s="11">
        <v>12</v>
      </c>
      <c r="AJ11" s="88"/>
      <c r="AK11" s="78"/>
      <c r="AL11" s="280" t="s">
        <v>492</v>
      </c>
      <c r="AM11" t="str">
        <f t="shared" si="0"/>
        <v>CharlotteCobcroftKaranga Toy StoryPrimary &lt;745</v>
      </c>
    </row>
    <row r="12" spans="1:39">
      <c r="A12" s="3" t="s">
        <v>166</v>
      </c>
      <c r="B12" s="3" t="s">
        <v>167</v>
      </c>
      <c r="C12" s="3" t="s">
        <v>168</v>
      </c>
      <c r="D12" s="202" t="s">
        <v>173</v>
      </c>
      <c r="E12" s="171"/>
      <c r="F12" s="94">
        <f t="shared" si="1"/>
        <v>0</v>
      </c>
      <c r="G12" s="141"/>
      <c r="H12" s="233">
        <v>55</v>
      </c>
      <c r="I12" s="3">
        <v>4</v>
      </c>
      <c r="J12" s="3">
        <v>2</v>
      </c>
      <c r="K12" s="11">
        <f>SUM(I12:J12)</f>
        <v>6</v>
      </c>
      <c r="L12" s="234" t="s">
        <v>31</v>
      </c>
      <c r="M12" s="78"/>
      <c r="N12" s="283">
        <v>0</v>
      </c>
      <c r="O12" s="19">
        <v>0</v>
      </c>
      <c r="P12" s="19">
        <v>0</v>
      </c>
      <c r="Q12" s="287">
        <v>0</v>
      </c>
      <c r="R12" s="88">
        <v>0</v>
      </c>
      <c r="S12" s="78"/>
      <c r="T12" s="283">
        <v>0</v>
      </c>
      <c r="U12" s="19">
        <v>0</v>
      </c>
      <c r="V12" s="19">
        <v>0</v>
      </c>
      <c r="W12" s="287">
        <v>0</v>
      </c>
      <c r="X12" s="88">
        <v>0</v>
      </c>
      <c r="Y12" s="78"/>
      <c r="Z12" s="15"/>
      <c r="AA12" s="3"/>
      <c r="AB12" s="3"/>
      <c r="AC12" s="11"/>
      <c r="AD12" s="88"/>
      <c r="AE12" s="78"/>
      <c r="AF12" s="15"/>
      <c r="AG12" s="3"/>
      <c r="AH12" s="3"/>
      <c r="AI12" s="11"/>
      <c r="AJ12" s="88"/>
      <c r="AK12" s="78"/>
      <c r="AL12" s="280" t="s">
        <v>492</v>
      </c>
      <c r="AM12" t="str">
        <f t="shared" si="0"/>
        <v>Charlotte daisyFaheyMcEwen Leonardo AsturiasPrimary &lt;745</v>
      </c>
    </row>
    <row r="13" spans="1:39">
      <c r="A13" s="3" t="s">
        <v>166</v>
      </c>
      <c r="B13" s="3" t="s">
        <v>167</v>
      </c>
      <c r="C13" s="3" t="s">
        <v>168</v>
      </c>
      <c r="D13" s="202" t="s">
        <v>169</v>
      </c>
      <c r="E13" s="171"/>
      <c r="F13" s="94">
        <f t="shared" si="1"/>
        <v>0</v>
      </c>
      <c r="G13" s="213"/>
      <c r="H13" s="233">
        <v>58.21</v>
      </c>
      <c r="I13" s="3">
        <v>0</v>
      </c>
      <c r="J13" s="3">
        <v>2.2000000000000002</v>
      </c>
      <c r="K13" s="11">
        <f>SUM(I13:J13)</f>
        <v>2.2000000000000002</v>
      </c>
      <c r="L13" s="234" t="s">
        <v>31</v>
      </c>
      <c r="M13" s="78"/>
      <c r="N13" s="283">
        <v>0</v>
      </c>
      <c r="O13" s="19">
        <v>0</v>
      </c>
      <c r="P13" s="19">
        <v>0</v>
      </c>
      <c r="Q13" s="287">
        <v>0</v>
      </c>
      <c r="R13" s="88">
        <v>0</v>
      </c>
      <c r="S13" s="78"/>
      <c r="T13" s="283">
        <v>0</v>
      </c>
      <c r="U13" s="19">
        <v>0</v>
      </c>
      <c r="V13" s="19">
        <v>0</v>
      </c>
      <c r="W13" s="287">
        <v>0</v>
      </c>
      <c r="X13" s="88">
        <v>0</v>
      </c>
      <c r="Y13" s="78"/>
      <c r="Z13" s="15"/>
      <c r="AA13" s="3"/>
      <c r="AB13" s="3"/>
      <c r="AC13" s="11"/>
      <c r="AD13" s="88"/>
      <c r="AE13" s="78"/>
      <c r="AF13" s="15"/>
      <c r="AG13" s="3"/>
      <c r="AH13" s="3"/>
      <c r="AI13" s="11"/>
      <c r="AJ13" s="88"/>
      <c r="AK13" s="78"/>
      <c r="AL13" s="280" t="s">
        <v>492</v>
      </c>
      <c r="AM13" t="str">
        <f t="shared" si="0"/>
        <v>Charlotte daisyFaheyRising Dawn AndreisPrimary &lt;745</v>
      </c>
    </row>
    <row r="14" spans="1:39">
      <c r="A14" s="202" t="s">
        <v>314</v>
      </c>
      <c r="B14" s="202" t="s">
        <v>315</v>
      </c>
      <c r="C14" s="202" t="s">
        <v>316</v>
      </c>
      <c r="D14" s="202" t="s">
        <v>317</v>
      </c>
      <c r="E14" s="171"/>
      <c r="F14" s="94">
        <f t="shared" si="1"/>
        <v>0</v>
      </c>
      <c r="G14" s="213"/>
      <c r="H14" s="19"/>
      <c r="I14" s="3"/>
      <c r="J14" s="3"/>
      <c r="K14" s="11"/>
      <c r="L14" s="88"/>
      <c r="M14" s="78"/>
      <c r="N14" s="283"/>
      <c r="O14" s="19"/>
      <c r="P14" s="19"/>
      <c r="Q14" s="287"/>
      <c r="R14" s="88"/>
      <c r="S14" s="78"/>
      <c r="T14" s="19"/>
      <c r="U14" s="19"/>
      <c r="V14" s="19"/>
      <c r="W14" s="19"/>
      <c r="X14" s="88"/>
      <c r="Y14" s="78"/>
      <c r="Z14" s="15"/>
      <c r="AA14" s="3"/>
      <c r="AB14" s="3"/>
      <c r="AC14" s="11"/>
      <c r="AD14" s="88"/>
      <c r="AE14" s="78"/>
      <c r="AF14" s="15"/>
      <c r="AG14" s="3"/>
      <c r="AH14" s="3"/>
      <c r="AI14" s="11"/>
      <c r="AJ14" s="88"/>
      <c r="AK14" s="78"/>
      <c r="AL14" s="280" t="s">
        <v>492</v>
      </c>
      <c r="AM14" t="str">
        <f t="shared" si="0"/>
        <v>Darcey ColmanSugargum Uabba FernPrimary &lt;745</v>
      </c>
    </row>
    <row r="15" spans="1:39">
      <c r="A15" t="s">
        <v>36</v>
      </c>
      <c r="B15" s="3" t="s">
        <v>37</v>
      </c>
      <c r="C15" s="19" t="s">
        <v>38</v>
      </c>
      <c r="D15" s="3" t="s">
        <v>170</v>
      </c>
      <c r="E15" s="171"/>
      <c r="F15" s="94">
        <f t="shared" si="1"/>
        <v>0</v>
      </c>
      <c r="G15" s="141"/>
      <c r="H15" s="19"/>
      <c r="I15" s="3"/>
      <c r="J15" s="3"/>
      <c r="K15" s="11"/>
      <c r="L15" s="88"/>
      <c r="M15" s="78"/>
      <c r="N15" s="283">
        <v>0.56607142857142856</v>
      </c>
      <c r="O15" s="19" t="s">
        <v>496</v>
      </c>
      <c r="P15" s="19">
        <v>0</v>
      </c>
      <c r="Q15" s="287" t="s">
        <v>493</v>
      </c>
      <c r="R15" s="88">
        <v>0</v>
      </c>
      <c r="S15" s="78"/>
      <c r="T15" s="283" t="s">
        <v>504</v>
      </c>
      <c r="U15" s="19" t="s">
        <v>495</v>
      </c>
      <c r="V15" s="19" t="s">
        <v>495</v>
      </c>
      <c r="W15" s="287" t="s">
        <v>493</v>
      </c>
      <c r="X15" s="88">
        <v>0</v>
      </c>
      <c r="Y15" s="78"/>
      <c r="Z15" s="15"/>
      <c r="AA15" s="3"/>
      <c r="AB15" s="3"/>
      <c r="AC15" s="11"/>
      <c r="AD15" s="88"/>
      <c r="AE15" s="78"/>
      <c r="AF15" s="15"/>
      <c r="AG15" s="3"/>
      <c r="AH15" s="3"/>
      <c r="AI15" s="11"/>
      <c r="AJ15" s="88"/>
      <c r="AK15" s="78"/>
      <c r="AL15" s="280" t="s">
        <v>492</v>
      </c>
      <c r="AM15" t="str">
        <f t="shared" si="0"/>
        <v>EllieMeaneyTanglewood Park Day DreamsPrimary &lt;745</v>
      </c>
    </row>
    <row r="16" spans="1:39">
      <c r="A16" s="221" t="s">
        <v>299</v>
      </c>
      <c r="B16" s="222" t="s">
        <v>300</v>
      </c>
      <c r="C16" s="221" t="s">
        <v>42</v>
      </c>
      <c r="D16" s="221" t="s">
        <v>301</v>
      </c>
      <c r="E16" s="171"/>
      <c r="F16" s="94">
        <f t="shared" si="1"/>
        <v>0</v>
      </c>
      <c r="G16" s="141"/>
      <c r="H16" s="303">
        <v>58.39</v>
      </c>
      <c r="I16" s="14">
        <v>4</v>
      </c>
      <c r="J16" s="239">
        <v>14.4</v>
      </c>
      <c r="K16" s="11">
        <f>SUM(I16:J16)</f>
        <v>18.399999999999999</v>
      </c>
      <c r="L16" s="240" t="s">
        <v>31</v>
      </c>
      <c r="M16" s="85"/>
      <c r="N16" s="283">
        <v>0</v>
      </c>
      <c r="O16" s="19">
        <v>0</v>
      </c>
      <c r="P16" s="19">
        <v>0</v>
      </c>
      <c r="Q16" s="287">
        <v>0</v>
      </c>
      <c r="R16" s="88">
        <v>0</v>
      </c>
      <c r="S16" s="85"/>
      <c r="T16" s="283">
        <v>0</v>
      </c>
      <c r="U16" s="19">
        <v>0</v>
      </c>
      <c r="V16" s="19">
        <v>0</v>
      </c>
      <c r="W16" s="287">
        <v>0</v>
      </c>
      <c r="X16" s="88">
        <v>0</v>
      </c>
      <c r="Y16" s="85"/>
      <c r="Z16" s="23"/>
      <c r="AA16" s="14"/>
      <c r="AB16" s="14"/>
      <c r="AC16" s="34"/>
      <c r="AD16" s="88"/>
      <c r="AE16" s="85"/>
      <c r="AF16" s="15"/>
      <c r="AG16" s="3"/>
      <c r="AH16" s="3"/>
      <c r="AI16" s="11"/>
      <c r="AJ16" s="88"/>
      <c r="AK16" s="78"/>
      <c r="AL16" s="280" t="s">
        <v>492</v>
      </c>
      <c r="AM16" t="str">
        <f t="shared" si="0"/>
        <v>HallieBradleyDalpura AllurePrimary &lt;745</v>
      </c>
    </row>
    <row r="17" spans="1:39">
      <c r="A17" t="s">
        <v>179</v>
      </c>
      <c r="B17" s="3" t="s">
        <v>180</v>
      </c>
      <c r="C17" s="202" t="s">
        <v>181</v>
      </c>
      <c r="D17" s="220" t="s">
        <v>182</v>
      </c>
      <c r="E17" s="216">
        <v>6</v>
      </c>
      <c r="F17" s="94">
        <f t="shared" si="1"/>
        <v>66</v>
      </c>
      <c r="G17" s="141">
        <f>Y17+S17</f>
        <v>39</v>
      </c>
      <c r="H17" s="19">
        <v>60.71</v>
      </c>
      <c r="I17" s="3">
        <v>0</v>
      </c>
      <c r="J17" s="3">
        <v>4</v>
      </c>
      <c r="K17" s="11">
        <v>43.29</v>
      </c>
      <c r="L17" s="88">
        <v>17</v>
      </c>
      <c r="M17" s="78">
        <v>17</v>
      </c>
      <c r="N17" s="283">
        <v>0.64464285714285718</v>
      </c>
      <c r="O17" s="19">
        <v>0</v>
      </c>
      <c r="P17" s="19">
        <v>0</v>
      </c>
      <c r="Q17" s="287">
        <v>35.535714285714285</v>
      </c>
      <c r="R17" s="88">
        <v>25</v>
      </c>
      <c r="S17" s="78">
        <v>20</v>
      </c>
      <c r="T17" s="283">
        <v>0.63485000000000003</v>
      </c>
      <c r="U17" s="19">
        <v>0</v>
      </c>
      <c r="V17" s="19">
        <v>0</v>
      </c>
      <c r="W17" s="287">
        <v>36.515000000000001</v>
      </c>
      <c r="X17" s="88">
        <v>24</v>
      </c>
      <c r="Y17" s="78">
        <v>19</v>
      </c>
      <c r="Z17" s="15"/>
      <c r="AA17" s="3"/>
      <c r="AB17" s="3"/>
      <c r="AC17" s="11"/>
      <c r="AD17" s="88"/>
      <c r="AE17" s="78"/>
      <c r="AF17" s="15"/>
      <c r="AG17" s="3"/>
      <c r="AH17" s="3"/>
      <c r="AI17" s="11"/>
      <c r="AJ17" s="88"/>
      <c r="AK17" s="78"/>
      <c r="AL17" s="280" t="s">
        <v>492</v>
      </c>
      <c r="AM17" t="str">
        <f t="shared" si="0"/>
        <v>HarryDownerDrumeden Centre StagePrimary &lt;745</v>
      </c>
    </row>
    <row r="18" spans="1:39">
      <c r="A18" s="3" t="s">
        <v>174</v>
      </c>
      <c r="B18" s="3" t="s">
        <v>175</v>
      </c>
      <c r="C18" s="3" t="s">
        <v>176</v>
      </c>
      <c r="D18" s="3" t="s">
        <v>177</v>
      </c>
      <c r="E18" s="252">
        <v>5</v>
      </c>
      <c r="F18" s="94">
        <f t="shared" si="1"/>
        <v>0</v>
      </c>
      <c r="G18" s="141"/>
      <c r="H18" s="233">
        <v>55</v>
      </c>
      <c r="I18" s="3"/>
      <c r="J18" s="237" t="s">
        <v>70</v>
      </c>
      <c r="K18" s="5"/>
      <c r="L18" s="234" t="s">
        <v>31</v>
      </c>
      <c r="M18" s="78"/>
      <c r="N18" s="283">
        <v>0</v>
      </c>
      <c r="O18" s="19">
        <v>0</v>
      </c>
      <c r="P18" s="19">
        <v>0</v>
      </c>
      <c r="Q18" s="287">
        <v>0</v>
      </c>
      <c r="R18" s="88">
        <v>0</v>
      </c>
      <c r="S18" s="78"/>
      <c r="T18" s="283">
        <v>0</v>
      </c>
      <c r="U18" s="19">
        <v>0</v>
      </c>
      <c r="V18" s="19">
        <v>0</v>
      </c>
      <c r="W18" s="287">
        <v>0</v>
      </c>
      <c r="X18" s="88">
        <v>0</v>
      </c>
      <c r="Y18" s="78"/>
      <c r="Z18" s="15"/>
      <c r="AA18" s="3"/>
      <c r="AB18" s="2"/>
      <c r="AC18" s="5"/>
      <c r="AD18" s="88"/>
      <c r="AE18" s="78"/>
      <c r="AF18" s="15"/>
      <c r="AG18" s="3"/>
      <c r="AH18" s="2"/>
      <c r="AI18" s="5"/>
      <c r="AJ18" s="88"/>
      <c r="AK18" s="78"/>
      <c r="AL18" s="280" t="s">
        <v>492</v>
      </c>
      <c r="AM18" t="str">
        <f t="shared" si="0"/>
        <v>LucyRhodesSCAYSBROOK PARK ROYAL ENCOREPrimary &lt;745</v>
      </c>
    </row>
    <row r="19" spans="1:39">
      <c r="A19" s="3" t="s">
        <v>44</v>
      </c>
      <c r="B19" t="s">
        <v>45</v>
      </c>
      <c r="C19" s="202" t="s">
        <v>46</v>
      </c>
      <c r="D19" s="202" t="s">
        <v>47</v>
      </c>
      <c r="E19" s="216">
        <v>5</v>
      </c>
      <c r="F19" s="94">
        <f t="shared" si="1"/>
        <v>0</v>
      </c>
      <c r="G19" s="141"/>
      <c r="H19" s="19"/>
      <c r="I19" s="3"/>
      <c r="J19" s="3"/>
      <c r="K19" s="11"/>
      <c r="L19" s="88"/>
      <c r="M19" s="78"/>
      <c r="N19" s="283">
        <v>0</v>
      </c>
      <c r="O19" s="19">
        <v>0</v>
      </c>
      <c r="P19" s="19">
        <v>0</v>
      </c>
      <c r="Q19" s="287">
        <v>0</v>
      </c>
      <c r="R19" s="88">
        <v>0</v>
      </c>
      <c r="S19" s="78"/>
      <c r="T19" s="283">
        <v>0</v>
      </c>
      <c r="U19" s="19">
        <v>0</v>
      </c>
      <c r="V19" s="19">
        <v>0</v>
      </c>
      <c r="W19" s="287">
        <v>0</v>
      </c>
      <c r="X19" s="88">
        <v>0</v>
      </c>
      <c r="Y19" s="78"/>
      <c r="Z19" s="15"/>
      <c r="AA19" s="3"/>
      <c r="AB19" s="3"/>
      <c r="AC19" s="11"/>
      <c r="AD19" s="88"/>
      <c r="AE19" s="78"/>
      <c r="AF19" s="15"/>
      <c r="AG19" s="3"/>
      <c r="AH19" s="3"/>
      <c r="AI19" s="11"/>
      <c r="AJ19" s="88"/>
      <c r="AK19" s="78"/>
      <c r="AL19" s="280" t="s">
        <v>492</v>
      </c>
      <c r="AM19" t="str">
        <f t="shared" si="0"/>
        <v>OliviaSpencerNillalook GuardianPrimary &lt;745</v>
      </c>
    </row>
    <row r="20" spans="1:39" ht="16.5" thickBot="1">
      <c r="A20" s="3" t="s">
        <v>48</v>
      </c>
      <c r="B20" s="3" t="s">
        <v>163</v>
      </c>
      <c r="C20" s="202" t="s">
        <v>164</v>
      </c>
      <c r="D20" s="202" t="s">
        <v>172</v>
      </c>
      <c r="E20" s="216">
        <v>6</v>
      </c>
      <c r="F20" s="94">
        <f t="shared" si="1"/>
        <v>69</v>
      </c>
      <c r="G20" s="211">
        <f>Y20+M20</f>
        <v>40</v>
      </c>
      <c r="H20" s="21">
        <v>67.5</v>
      </c>
      <c r="I20" s="17">
        <v>0</v>
      </c>
      <c r="J20" s="17">
        <v>0</v>
      </c>
      <c r="K20" s="11">
        <f>SUM(I20:J20)</f>
        <v>0</v>
      </c>
      <c r="L20" s="90">
        <v>20</v>
      </c>
      <c r="M20" s="86">
        <v>20</v>
      </c>
      <c r="N20" s="284">
        <v>0.63124999999999998</v>
      </c>
      <c r="O20" s="17">
        <v>0</v>
      </c>
      <c r="P20" s="17">
        <v>0</v>
      </c>
      <c r="Q20" s="288">
        <v>36.875</v>
      </c>
      <c r="R20" s="90">
        <v>24</v>
      </c>
      <c r="S20" s="86">
        <v>19</v>
      </c>
      <c r="T20" s="284">
        <v>0.65355000000000008</v>
      </c>
      <c r="U20" s="17">
        <v>0</v>
      </c>
      <c r="V20" s="17">
        <v>0</v>
      </c>
      <c r="W20" s="288">
        <v>34.644999999999996</v>
      </c>
      <c r="X20" s="90">
        <v>25</v>
      </c>
      <c r="Y20" s="86">
        <v>20</v>
      </c>
      <c r="Z20" s="20"/>
      <c r="AA20" s="17"/>
      <c r="AB20" s="17"/>
      <c r="AC20" s="26"/>
      <c r="AD20" s="90"/>
      <c r="AE20" s="86"/>
      <c r="AF20" s="15"/>
      <c r="AG20" s="3"/>
      <c r="AH20" s="3"/>
      <c r="AI20" s="11"/>
      <c r="AJ20" s="90"/>
      <c r="AK20" s="86"/>
      <c r="AL20" s="280" t="s">
        <v>492</v>
      </c>
      <c r="AM20" t="str">
        <f t="shared" si="0"/>
        <v>ZaraLallyJAZAIL MARASIPrimary &lt;745</v>
      </c>
    </row>
    <row r="22" spans="1:39" ht="16.5" thickBot="1"/>
    <row r="23" spans="1:39" ht="24" thickBot="1">
      <c r="H23" s="418" t="s">
        <v>290</v>
      </c>
      <c r="I23" s="441"/>
      <c r="J23" s="441"/>
      <c r="K23" s="441"/>
      <c r="L23" s="441"/>
      <c r="M23" s="58"/>
      <c r="N23" s="442" t="s">
        <v>291</v>
      </c>
      <c r="O23" s="442"/>
      <c r="P23" s="442"/>
      <c r="Q23" s="442"/>
      <c r="R23" s="442"/>
      <c r="S23" s="60"/>
      <c r="T23" s="390" t="s">
        <v>292</v>
      </c>
      <c r="U23" s="391"/>
      <c r="V23" s="391"/>
      <c r="W23" s="391"/>
      <c r="X23" s="200"/>
      <c r="Y23" s="199"/>
      <c r="Z23" s="427" t="s">
        <v>293</v>
      </c>
      <c r="AA23" s="443"/>
      <c r="AB23" s="443"/>
      <c r="AC23" s="443"/>
      <c r="AD23" s="443"/>
      <c r="AE23" s="198"/>
      <c r="AF23" s="402" t="s">
        <v>294</v>
      </c>
      <c r="AG23" s="442"/>
      <c r="AH23" s="442"/>
      <c r="AI23" s="442"/>
      <c r="AJ23" s="442"/>
      <c r="AK23" s="60"/>
    </row>
    <row r="24" spans="1:39" s="45" customFormat="1" ht="63">
      <c r="A24" s="416" t="s">
        <v>318</v>
      </c>
      <c r="B24" s="409"/>
      <c r="C24" s="409"/>
      <c r="D24" s="409"/>
      <c r="E24" s="440"/>
      <c r="F24" s="117" t="s">
        <v>9</v>
      </c>
      <c r="G24" s="51" t="s">
        <v>10</v>
      </c>
      <c r="H24" s="38" t="s">
        <v>296</v>
      </c>
      <c r="I24" s="39" t="s">
        <v>11</v>
      </c>
      <c r="J24" s="39" t="s">
        <v>12</v>
      </c>
      <c r="K24" s="52" t="s">
        <v>297</v>
      </c>
      <c r="L24" s="97" t="s">
        <v>15</v>
      </c>
      <c r="M24" s="51" t="s">
        <v>298</v>
      </c>
      <c r="N24" s="282" t="s">
        <v>296</v>
      </c>
      <c r="O24" s="248" t="s">
        <v>11</v>
      </c>
      <c r="P24" s="248" t="s">
        <v>12</v>
      </c>
      <c r="Q24" s="286" t="s">
        <v>297</v>
      </c>
      <c r="R24" s="87" t="s">
        <v>15</v>
      </c>
      <c r="S24" s="57" t="s">
        <v>298</v>
      </c>
      <c r="T24" s="282" t="s">
        <v>296</v>
      </c>
      <c r="U24" s="248" t="s">
        <v>11</v>
      </c>
      <c r="V24" s="248" t="s">
        <v>12</v>
      </c>
      <c r="W24" s="281" t="s">
        <v>297</v>
      </c>
      <c r="X24" s="87" t="s">
        <v>15</v>
      </c>
      <c r="Y24" s="57" t="s">
        <v>298</v>
      </c>
      <c r="Z24" s="59" t="s">
        <v>296</v>
      </c>
      <c r="AA24" s="55" t="s">
        <v>11</v>
      </c>
      <c r="AB24" s="55" t="s">
        <v>12</v>
      </c>
      <c r="AC24" s="56" t="s">
        <v>297</v>
      </c>
      <c r="AD24" s="87" t="s">
        <v>15</v>
      </c>
      <c r="AE24" s="57" t="s">
        <v>298</v>
      </c>
      <c r="AF24" s="54" t="s">
        <v>296</v>
      </c>
      <c r="AG24" s="55" t="s">
        <v>11</v>
      </c>
      <c r="AH24" s="61" t="s">
        <v>12</v>
      </c>
      <c r="AI24" s="62" t="s">
        <v>297</v>
      </c>
      <c r="AJ24" s="91" t="s">
        <v>15</v>
      </c>
      <c r="AK24" s="57" t="s">
        <v>298</v>
      </c>
      <c r="AL24" s="45">
        <v>60</v>
      </c>
    </row>
    <row r="25" spans="1:39">
      <c r="A25" s="1" t="s">
        <v>22</v>
      </c>
      <c r="B25" s="1" t="s">
        <v>23</v>
      </c>
      <c r="C25" s="4" t="s">
        <v>24</v>
      </c>
      <c r="D25" s="1" t="s">
        <v>25</v>
      </c>
      <c r="E25" s="170" t="s">
        <v>26</v>
      </c>
      <c r="F25" s="93"/>
      <c r="G25" s="95"/>
      <c r="H25" s="15"/>
      <c r="I25" s="3"/>
      <c r="J25" s="3"/>
      <c r="K25" s="11"/>
      <c r="L25" s="88"/>
      <c r="M25" s="78"/>
      <c r="N25" s="283">
        <v>0</v>
      </c>
      <c r="O25" s="19">
        <v>0</v>
      </c>
      <c r="P25" s="19">
        <v>0</v>
      </c>
      <c r="Q25" s="295">
        <v>0</v>
      </c>
      <c r="R25" s="88">
        <v>0</v>
      </c>
      <c r="S25" s="98"/>
      <c r="T25" s="19"/>
      <c r="U25" s="3"/>
      <c r="V25" s="3"/>
      <c r="W25" s="11"/>
      <c r="X25" s="88"/>
      <c r="Y25" s="78"/>
      <c r="Z25" s="19"/>
      <c r="AA25" s="3"/>
      <c r="AB25" s="3"/>
      <c r="AC25" s="11"/>
      <c r="AD25" s="88"/>
      <c r="AE25" s="78"/>
      <c r="AF25" s="15"/>
      <c r="AG25" s="3"/>
      <c r="AH25" s="3"/>
      <c r="AI25" s="11"/>
      <c r="AJ25" s="88"/>
      <c r="AK25" s="78"/>
      <c r="AL25" s="280" t="s">
        <v>492</v>
      </c>
      <c r="AM25" t="str">
        <f>A25&amp;B25&amp;D25&amp;AL25&amp;$AL$24</f>
        <v>Rider First NameRider Last NameName of Pony/HorsePrimary &lt;760</v>
      </c>
    </row>
    <row r="26" spans="1:39">
      <c r="A26" s="3" t="s">
        <v>44</v>
      </c>
      <c r="B26" s="3" t="s">
        <v>45</v>
      </c>
      <c r="C26" s="202" t="s">
        <v>46</v>
      </c>
      <c r="D26" s="202" t="s">
        <v>47</v>
      </c>
      <c r="E26" s="216">
        <v>5</v>
      </c>
      <c r="F26" s="94">
        <f t="shared" ref="F26:F38" si="2">SUM(X26,L26,R26,AD26,AJ26)</f>
        <v>0</v>
      </c>
      <c r="G26" s="141"/>
      <c r="H26" s="15"/>
      <c r="I26" s="3"/>
      <c r="J26" s="3"/>
      <c r="K26" s="11"/>
      <c r="L26" s="88"/>
      <c r="M26" s="78"/>
      <c r="N26" s="283">
        <v>0</v>
      </c>
      <c r="O26" s="19">
        <v>0</v>
      </c>
      <c r="P26" s="19">
        <v>0</v>
      </c>
      <c r="Q26" s="295">
        <v>0</v>
      </c>
      <c r="R26" s="88">
        <v>0</v>
      </c>
      <c r="S26" s="98"/>
      <c r="T26" s="283">
        <v>0</v>
      </c>
      <c r="U26" s="19">
        <v>0</v>
      </c>
      <c r="V26" s="19">
        <v>0</v>
      </c>
      <c r="W26" s="287">
        <v>0</v>
      </c>
      <c r="X26" s="88">
        <v>0</v>
      </c>
      <c r="Y26" s="78"/>
      <c r="Z26" s="19"/>
      <c r="AA26" s="3"/>
      <c r="AB26" s="3"/>
      <c r="AC26" s="11"/>
      <c r="AD26" s="88"/>
      <c r="AE26" s="78"/>
      <c r="AF26" s="15"/>
      <c r="AG26" s="3"/>
      <c r="AH26" s="3"/>
      <c r="AI26" s="11"/>
      <c r="AJ26" s="88"/>
      <c r="AK26" s="78"/>
      <c r="AL26" s="280" t="s">
        <v>492</v>
      </c>
      <c r="AM26" t="str">
        <f t="shared" ref="AM26:AM38" si="3">A26&amp;B26&amp;D26&amp;AL26&amp;$AL$24</f>
        <v>OliviaSpencerNillalook GuardianPrimary &lt;760</v>
      </c>
    </row>
    <row r="27" spans="1:39">
      <c r="A27" s="3" t="s">
        <v>27</v>
      </c>
      <c r="B27" s="3" t="s">
        <v>28</v>
      </c>
      <c r="C27" s="202" t="s">
        <v>29</v>
      </c>
      <c r="D27" s="202" t="s">
        <v>30</v>
      </c>
      <c r="E27" s="216">
        <v>6</v>
      </c>
      <c r="F27" s="94">
        <f t="shared" si="2"/>
        <v>40</v>
      </c>
      <c r="G27" s="213">
        <f>M27+Y27</f>
        <v>35</v>
      </c>
      <c r="H27" s="15">
        <v>63.57</v>
      </c>
      <c r="I27" s="3">
        <v>0</v>
      </c>
      <c r="J27" s="3">
        <v>2</v>
      </c>
      <c r="K27" s="11">
        <v>2</v>
      </c>
      <c r="L27" s="88">
        <v>16</v>
      </c>
      <c r="M27" s="78">
        <v>16</v>
      </c>
      <c r="N27" s="283" t="s">
        <v>495</v>
      </c>
      <c r="O27" s="19" t="s">
        <v>495</v>
      </c>
      <c r="P27" s="19" t="s">
        <v>495</v>
      </c>
      <c r="Q27" s="295">
        <v>0</v>
      </c>
      <c r="R27" s="88">
        <v>0</v>
      </c>
      <c r="S27" s="98"/>
      <c r="T27" s="283">
        <v>0.6643</v>
      </c>
      <c r="U27" s="19">
        <v>0</v>
      </c>
      <c r="V27" s="19">
        <v>0</v>
      </c>
      <c r="W27" s="287">
        <v>33.57</v>
      </c>
      <c r="X27" s="88">
        <v>24</v>
      </c>
      <c r="Y27" s="78">
        <v>19</v>
      </c>
      <c r="Z27" s="19"/>
      <c r="AA27" s="3"/>
      <c r="AB27" s="3"/>
      <c r="AC27" s="11"/>
      <c r="AD27" s="88"/>
      <c r="AE27" s="78"/>
      <c r="AF27" s="15"/>
      <c r="AG27" s="3"/>
      <c r="AH27" s="2"/>
      <c r="AI27" s="5"/>
      <c r="AJ27" s="88"/>
      <c r="AK27" s="78"/>
      <c r="AL27" s="280" t="s">
        <v>492</v>
      </c>
      <c r="AM27" t="str">
        <f t="shared" si="3"/>
        <v>AliSmitSherbert LemonPrimary &lt;760</v>
      </c>
    </row>
    <row r="28" spans="1:39">
      <c r="A28" s="3" t="s">
        <v>179</v>
      </c>
      <c r="B28" s="3" t="s">
        <v>180</v>
      </c>
      <c r="C28" s="202" t="s">
        <v>181</v>
      </c>
      <c r="D28" s="202" t="s">
        <v>182</v>
      </c>
      <c r="E28" s="216">
        <v>6</v>
      </c>
      <c r="F28" s="94">
        <f t="shared" si="2"/>
        <v>0</v>
      </c>
      <c r="G28" s="165"/>
      <c r="H28" s="15">
        <v>71.959999999999994</v>
      </c>
      <c r="I28" s="3"/>
      <c r="J28" s="238" t="s">
        <v>70</v>
      </c>
      <c r="K28" s="11"/>
      <c r="L28" s="234" t="s">
        <v>31</v>
      </c>
      <c r="M28" s="78"/>
      <c r="N28" s="283">
        <v>0</v>
      </c>
      <c r="O28" s="19">
        <v>0</v>
      </c>
      <c r="P28" s="19">
        <v>0</v>
      </c>
      <c r="Q28" s="295">
        <v>0</v>
      </c>
      <c r="R28" s="88">
        <v>0</v>
      </c>
      <c r="S28" s="98"/>
      <c r="T28" s="283">
        <v>0</v>
      </c>
      <c r="U28" s="19">
        <v>0</v>
      </c>
      <c r="V28" s="19">
        <v>0</v>
      </c>
      <c r="W28" s="287">
        <v>0</v>
      </c>
      <c r="X28" s="88">
        <v>0</v>
      </c>
      <c r="Y28" s="78"/>
      <c r="Z28" s="19"/>
      <c r="AA28" s="3"/>
      <c r="AB28" s="2"/>
      <c r="AC28" s="5"/>
      <c r="AD28" s="94"/>
      <c r="AE28" s="78"/>
      <c r="AF28" s="15"/>
      <c r="AG28" s="3"/>
      <c r="AH28" s="3"/>
      <c r="AI28" s="11"/>
      <c r="AJ28" s="88"/>
      <c r="AK28" s="78"/>
      <c r="AL28" s="280" t="s">
        <v>492</v>
      </c>
      <c r="AM28" t="str">
        <f t="shared" si="3"/>
        <v>HarryDownerDrumeden Centre StagePrimary &lt;760</v>
      </c>
    </row>
    <row r="29" spans="1:39">
      <c r="A29" s="3" t="s">
        <v>40</v>
      </c>
      <c r="B29" s="3" t="s">
        <v>41</v>
      </c>
      <c r="C29" s="202" t="s">
        <v>42</v>
      </c>
      <c r="D29" s="202" t="s">
        <v>43</v>
      </c>
      <c r="E29" s="205">
        <v>6</v>
      </c>
      <c r="F29" s="94">
        <f t="shared" si="2"/>
        <v>90</v>
      </c>
      <c r="G29" s="213">
        <f>M29+Y29</f>
        <v>40</v>
      </c>
      <c r="H29" s="15">
        <v>71.430000000000007</v>
      </c>
      <c r="I29" s="3">
        <v>0</v>
      </c>
      <c r="J29" s="3">
        <v>2.4</v>
      </c>
      <c r="K29" s="11">
        <f>SUM(I29:J29)</f>
        <v>2.4</v>
      </c>
      <c r="L29" s="88">
        <v>20</v>
      </c>
      <c r="M29" s="78">
        <v>20</v>
      </c>
      <c r="N29" s="283">
        <v>0.69285714285714284</v>
      </c>
      <c r="O29" s="19">
        <v>0</v>
      </c>
      <c r="P29" s="19">
        <v>0</v>
      </c>
      <c r="Q29" s="295">
        <v>30.714285714285715</v>
      </c>
      <c r="R29" s="88">
        <v>25</v>
      </c>
      <c r="S29" s="78">
        <v>20</v>
      </c>
      <c r="T29" s="283">
        <v>0.70269999999999999</v>
      </c>
      <c r="U29" s="19">
        <v>0</v>
      </c>
      <c r="V29" s="19">
        <v>0</v>
      </c>
      <c r="W29" s="287">
        <v>29.73</v>
      </c>
      <c r="X29" s="88">
        <v>25</v>
      </c>
      <c r="Y29" s="78">
        <v>20</v>
      </c>
      <c r="Z29" s="19"/>
      <c r="AA29" s="3"/>
      <c r="AB29" s="3"/>
      <c r="AC29" s="11"/>
      <c r="AD29" s="88"/>
      <c r="AE29" s="78"/>
      <c r="AF29" s="15">
        <v>70.63</v>
      </c>
      <c r="AG29" s="3">
        <v>0</v>
      </c>
      <c r="AH29" s="3">
        <v>0</v>
      </c>
      <c r="AI29" s="11">
        <v>0</v>
      </c>
      <c r="AJ29" s="88">
        <v>20</v>
      </c>
      <c r="AK29" s="78">
        <v>20</v>
      </c>
      <c r="AL29" s="280" t="s">
        <v>492</v>
      </c>
      <c r="AM29" t="str">
        <f t="shared" si="3"/>
        <v>ImogenCarmichaelLittle Black SuziPrimary &lt;760</v>
      </c>
    </row>
    <row r="30" spans="1:39">
      <c r="A30" s="222" t="s">
        <v>310</v>
      </c>
      <c r="B30" s="221" t="s">
        <v>311</v>
      </c>
      <c r="C30" s="228" t="s">
        <v>312</v>
      </c>
      <c r="D30" s="221" t="s">
        <v>313</v>
      </c>
      <c r="E30" s="171"/>
      <c r="F30" s="94">
        <f t="shared" si="2"/>
        <v>0</v>
      </c>
      <c r="G30" s="165"/>
      <c r="H30" s="15">
        <v>60.54</v>
      </c>
      <c r="I30" s="236">
        <v>12</v>
      </c>
      <c r="J30" s="3">
        <v>4</v>
      </c>
      <c r="K30" s="11">
        <f>SUM(I30:J30)</f>
        <v>16</v>
      </c>
      <c r="L30" s="234" t="s">
        <v>31</v>
      </c>
      <c r="M30" s="78"/>
      <c r="N30" s="283">
        <v>0</v>
      </c>
      <c r="O30" s="19">
        <v>0</v>
      </c>
      <c r="P30" s="19">
        <v>0</v>
      </c>
      <c r="Q30" s="295">
        <v>0</v>
      </c>
      <c r="R30" s="88">
        <v>0</v>
      </c>
      <c r="S30" s="98"/>
      <c r="T30" s="283">
        <v>0</v>
      </c>
      <c r="U30" s="19">
        <v>0</v>
      </c>
      <c r="V30" s="19">
        <v>0</v>
      </c>
      <c r="W30" s="287">
        <v>0</v>
      </c>
      <c r="X30" s="88">
        <v>0</v>
      </c>
      <c r="Y30" s="78"/>
      <c r="Z30" s="19"/>
      <c r="AA30" s="3"/>
      <c r="AB30" s="3"/>
      <c r="AC30" s="11"/>
      <c r="AD30" s="88"/>
      <c r="AE30" s="78"/>
      <c r="AF30" s="15" t="s">
        <v>479</v>
      </c>
      <c r="AG30" s="3"/>
      <c r="AH30" s="3"/>
      <c r="AI30" s="11"/>
      <c r="AJ30" s="88"/>
      <c r="AK30" s="78"/>
      <c r="AL30" s="280" t="s">
        <v>492</v>
      </c>
      <c r="AM30" t="str">
        <f t="shared" si="3"/>
        <v>BrooklynShepherdCrimson RoyalePrimary &lt;760</v>
      </c>
    </row>
    <row r="31" spans="1:39">
      <c r="A31" s="221" t="s">
        <v>32</v>
      </c>
      <c r="B31" s="221" t="s">
        <v>33</v>
      </c>
      <c r="C31" s="221" t="s">
        <v>34</v>
      </c>
      <c r="D31" s="221" t="s">
        <v>183</v>
      </c>
      <c r="E31" s="171"/>
      <c r="F31" s="94">
        <f t="shared" si="2"/>
        <v>66</v>
      </c>
      <c r="G31" s="213">
        <f>M31+S31</f>
        <v>38</v>
      </c>
      <c r="H31" s="15">
        <v>68.75</v>
      </c>
      <c r="I31" s="3">
        <v>0</v>
      </c>
      <c r="J31" s="3">
        <v>0</v>
      </c>
      <c r="K31" s="11">
        <f>SUM(I31:J31)</f>
        <v>0</v>
      </c>
      <c r="L31" s="88">
        <v>19</v>
      </c>
      <c r="M31" s="78">
        <v>19</v>
      </c>
      <c r="N31" s="283">
        <v>0.62410714285714286</v>
      </c>
      <c r="O31" s="19">
        <v>0</v>
      </c>
      <c r="P31" s="19">
        <v>0</v>
      </c>
      <c r="Q31" s="295">
        <v>37.589285714285715</v>
      </c>
      <c r="R31" s="88">
        <v>24</v>
      </c>
      <c r="S31" s="78">
        <v>19</v>
      </c>
      <c r="T31" s="283">
        <v>0.63485000000000003</v>
      </c>
      <c r="U31" s="19">
        <v>0</v>
      </c>
      <c r="V31" s="19">
        <v>0</v>
      </c>
      <c r="W31" s="287">
        <v>36.515000000000001</v>
      </c>
      <c r="X31" s="88">
        <v>23</v>
      </c>
      <c r="Y31" s="78">
        <v>18</v>
      </c>
      <c r="Z31" s="19"/>
      <c r="AA31" s="3"/>
      <c r="AB31" s="3"/>
      <c r="AC31" s="11"/>
      <c r="AD31" s="88"/>
      <c r="AE31" s="78"/>
      <c r="AF31" s="15"/>
      <c r="AG31" s="3"/>
      <c r="AH31" s="3"/>
      <c r="AI31" s="11"/>
      <c r="AJ31" s="88"/>
      <c r="AK31" s="78"/>
      <c r="AL31" s="280" t="s">
        <v>492</v>
      </c>
      <c r="AM31" t="str">
        <f t="shared" si="3"/>
        <v>CarlyRobertsTakodaPrimary &lt;760</v>
      </c>
    </row>
    <row r="32" spans="1:39">
      <c r="A32" t="s">
        <v>166</v>
      </c>
      <c r="B32" s="3" t="s">
        <v>167</v>
      </c>
      <c r="C32" s="3" t="s">
        <v>168</v>
      </c>
      <c r="D32" s="220" t="s">
        <v>173</v>
      </c>
      <c r="E32" s="216"/>
      <c r="F32" s="94">
        <f t="shared" si="2"/>
        <v>0</v>
      </c>
      <c r="G32" s="141"/>
      <c r="H32" s="15"/>
      <c r="I32" s="3"/>
      <c r="J32" s="3"/>
      <c r="K32" s="11"/>
      <c r="L32" s="88"/>
      <c r="M32" s="78"/>
      <c r="N32" s="283">
        <v>0</v>
      </c>
      <c r="O32" s="19">
        <v>0</v>
      </c>
      <c r="P32" s="19">
        <v>0</v>
      </c>
      <c r="Q32" s="295">
        <v>0</v>
      </c>
      <c r="R32" s="88">
        <v>0</v>
      </c>
      <c r="S32" s="98"/>
      <c r="T32" s="283">
        <v>0</v>
      </c>
      <c r="U32" s="19">
        <v>0</v>
      </c>
      <c r="V32" s="19">
        <v>0</v>
      </c>
      <c r="W32" s="287">
        <v>0</v>
      </c>
      <c r="X32" s="88">
        <v>0</v>
      </c>
      <c r="Y32" s="78"/>
      <c r="Z32" s="19"/>
      <c r="AA32" s="3"/>
      <c r="AB32" s="3"/>
      <c r="AC32" s="11"/>
      <c r="AD32" s="155"/>
      <c r="AE32" s="78"/>
      <c r="AF32" s="15"/>
      <c r="AG32" s="3"/>
      <c r="AH32" s="3"/>
      <c r="AI32" s="11"/>
      <c r="AJ32" s="88"/>
      <c r="AK32" s="78"/>
      <c r="AL32" s="280" t="s">
        <v>492</v>
      </c>
      <c r="AM32" t="str">
        <f t="shared" si="3"/>
        <v>Charlotte daisyFaheyMcEwen Leonardo AsturiasPrimary &lt;760</v>
      </c>
    </row>
    <row r="33" spans="1:39">
      <c r="A33" s="3" t="s">
        <v>36</v>
      </c>
      <c r="B33" t="s">
        <v>37</v>
      </c>
      <c r="C33" s="3" t="s">
        <v>38</v>
      </c>
      <c r="D33" s="3" t="s">
        <v>39</v>
      </c>
      <c r="E33" s="171"/>
      <c r="F33" s="94">
        <f t="shared" si="2"/>
        <v>17</v>
      </c>
      <c r="G33" s="213"/>
      <c r="H33" s="15">
        <v>64.290000000000006</v>
      </c>
      <c r="I33" s="3">
        <v>0</v>
      </c>
      <c r="J33" s="3">
        <v>0</v>
      </c>
      <c r="K33" s="11">
        <f>SUM(I33:J33)</f>
        <v>0</v>
      </c>
      <c r="L33" s="88">
        <v>17</v>
      </c>
      <c r="M33" s="78">
        <v>17</v>
      </c>
      <c r="N33" s="283">
        <v>0</v>
      </c>
      <c r="O33" s="19">
        <v>0</v>
      </c>
      <c r="P33" s="19">
        <v>0</v>
      </c>
      <c r="Q33" s="295">
        <v>0</v>
      </c>
      <c r="R33" s="88">
        <v>0</v>
      </c>
      <c r="S33" s="98"/>
      <c r="T33" s="283">
        <v>0</v>
      </c>
      <c r="U33" s="19">
        <v>0</v>
      </c>
      <c r="V33" s="19">
        <v>0</v>
      </c>
      <c r="W33" s="287">
        <v>0</v>
      </c>
      <c r="X33" s="88">
        <v>0</v>
      </c>
      <c r="Y33" s="79"/>
      <c r="Z33" s="19"/>
      <c r="AA33" s="3"/>
      <c r="AB33" s="3"/>
      <c r="AC33" s="11"/>
      <c r="AD33" s="88"/>
      <c r="AE33" s="78"/>
      <c r="AF33" s="15"/>
      <c r="AG33" s="3"/>
      <c r="AH33" s="3"/>
      <c r="AI33" s="11"/>
      <c r="AJ33" s="88"/>
      <c r="AK33" s="78"/>
      <c r="AL33" s="280" t="s">
        <v>492</v>
      </c>
      <c r="AM33" t="str">
        <f t="shared" si="3"/>
        <v>EllieMeaneyLoriot PandoraPrimary &lt;760</v>
      </c>
    </row>
    <row r="34" spans="1:39">
      <c r="A34" s="3" t="s">
        <v>36</v>
      </c>
      <c r="B34" s="3" t="s">
        <v>37</v>
      </c>
      <c r="C34" s="3" t="s">
        <v>38</v>
      </c>
      <c r="D34" s="3" t="s">
        <v>170</v>
      </c>
      <c r="E34" s="171"/>
      <c r="F34" s="94">
        <f t="shared" si="2"/>
        <v>18</v>
      </c>
      <c r="G34" s="213"/>
      <c r="H34" s="15">
        <v>65.180000000000007</v>
      </c>
      <c r="I34" s="3">
        <v>0</v>
      </c>
      <c r="J34" s="3">
        <v>0</v>
      </c>
      <c r="K34" s="11">
        <f>SUM(I34:J34)</f>
        <v>0</v>
      </c>
      <c r="L34" s="88">
        <v>18</v>
      </c>
      <c r="M34" s="78">
        <v>18</v>
      </c>
      <c r="N34" s="283" t="s">
        <v>495</v>
      </c>
      <c r="O34" s="19" t="s">
        <v>495</v>
      </c>
      <c r="P34" s="19" t="s">
        <v>495</v>
      </c>
      <c r="Q34" s="295">
        <v>0</v>
      </c>
      <c r="R34" s="88">
        <v>0</v>
      </c>
      <c r="S34" s="98"/>
      <c r="T34" s="283">
        <v>0.64105000000000001</v>
      </c>
      <c r="U34" s="19">
        <v>4</v>
      </c>
      <c r="V34" s="19">
        <v>6.8</v>
      </c>
      <c r="W34" s="287">
        <v>46.694999999999993</v>
      </c>
      <c r="X34" s="88">
        <v>0</v>
      </c>
      <c r="Y34" s="78"/>
      <c r="Z34" s="19"/>
      <c r="AA34" s="3"/>
      <c r="AB34" s="3"/>
      <c r="AC34" s="11"/>
      <c r="AD34" s="88"/>
      <c r="AE34" s="78"/>
      <c r="AF34" s="15"/>
      <c r="AG34" s="3"/>
      <c r="AH34" s="3"/>
      <c r="AI34" s="11"/>
      <c r="AJ34" s="88"/>
      <c r="AK34" s="78"/>
      <c r="AL34" s="280" t="s">
        <v>492</v>
      </c>
      <c r="AM34" t="str">
        <f t="shared" si="3"/>
        <v>EllieMeaneyTanglewood Park Day DreamsPrimary &lt;760</v>
      </c>
    </row>
    <row r="35" spans="1:39">
      <c r="A35" s="2"/>
      <c r="B35" s="2"/>
      <c r="C35" s="2"/>
      <c r="D35" s="2"/>
      <c r="E35" s="171"/>
      <c r="F35" s="94">
        <f t="shared" si="2"/>
        <v>0</v>
      </c>
      <c r="G35" s="141"/>
      <c r="H35" s="15"/>
      <c r="I35" s="3"/>
      <c r="J35" s="3"/>
      <c r="K35" s="11"/>
      <c r="L35" s="88"/>
      <c r="M35" s="78"/>
      <c r="N35" s="283">
        <v>0</v>
      </c>
      <c r="O35" s="19">
        <v>0</v>
      </c>
      <c r="P35" s="19">
        <v>0</v>
      </c>
      <c r="Q35" s="295">
        <v>0</v>
      </c>
      <c r="R35" s="88">
        <v>0</v>
      </c>
      <c r="S35" s="98"/>
      <c r="T35" s="283">
        <v>0</v>
      </c>
      <c r="U35" s="19">
        <v>0</v>
      </c>
      <c r="V35" s="19">
        <v>0</v>
      </c>
      <c r="W35" s="287">
        <v>0</v>
      </c>
      <c r="X35" s="88">
        <v>0</v>
      </c>
      <c r="Y35" s="78"/>
      <c r="Z35" s="19"/>
      <c r="AA35" s="3"/>
      <c r="AB35" s="3"/>
      <c r="AC35" s="11"/>
      <c r="AD35" s="88"/>
      <c r="AE35" s="85"/>
      <c r="AF35" s="15"/>
      <c r="AG35" s="3"/>
      <c r="AH35" s="3"/>
      <c r="AI35" s="11"/>
      <c r="AJ35" s="88"/>
      <c r="AK35" s="78"/>
      <c r="AL35" s="280" t="s">
        <v>492</v>
      </c>
      <c r="AM35" t="str">
        <f t="shared" si="3"/>
        <v>Primary &lt;760</v>
      </c>
    </row>
    <row r="36" spans="1:39">
      <c r="A36" s="2"/>
      <c r="B36" s="2"/>
      <c r="C36" s="2"/>
      <c r="D36" s="2"/>
      <c r="E36" s="171"/>
      <c r="F36" s="94">
        <f t="shared" si="2"/>
        <v>0</v>
      </c>
      <c r="G36" s="141"/>
      <c r="H36" s="15"/>
      <c r="I36" s="3"/>
      <c r="J36" s="3"/>
      <c r="K36" s="11"/>
      <c r="L36" s="88"/>
      <c r="M36" s="78"/>
      <c r="N36" s="15"/>
      <c r="O36" s="3"/>
      <c r="P36" s="3"/>
      <c r="Q36" s="273"/>
      <c r="R36" s="88"/>
      <c r="S36" s="98"/>
      <c r="T36" s="19"/>
      <c r="U36" s="3"/>
      <c r="V36" s="3"/>
      <c r="W36" s="11"/>
      <c r="X36" s="88"/>
      <c r="Y36" s="78"/>
      <c r="Z36" s="19"/>
      <c r="AA36" s="3"/>
      <c r="AB36" s="3"/>
      <c r="AC36" s="11"/>
      <c r="AD36" s="88"/>
      <c r="AE36" s="78"/>
      <c r="AF36" s="15"/>
      <c r="AG36" s="3"/>
      <c r="AH36" s="3"/>
      <c r="AI36" s="11"/>
      <c r="AJ36" s="88"/>
      <c r="AK36" s="78"/>
      <c r="AL36" s="280" t="s">
        <v>492</v>
      </c>
      <c r="AM36" t="str">
        <f t="shared" si="3"/>
        <v>Primary &lt;760</v>
      </c>
    </row>
    <row r="37" spans="1:39">
      <c r="A37" s="13"/>
      <c r="B37" s="13"/>
      <c r="C37" s="13"/>
      <c r="D37" s="2"/>
      <c r="E37" s="172"/>
      <c r="F37" s="94">
        <f t="shared" si="2"/>
        <v>0</v>
      </c>
      <c r="G37" s="141"/>
      <c r="H37" s="23"/>
      <c r="I37" s="14"/>
      <c r="J37" s="14"/>
      <c r="K37" s="34"/>
      <c r="L37" s="89"/>
      <c r="M37" s="85"/>
      <c r="N37" s="23"/>
      <c r="O37" s="14"/>
      <c r="P37" s="14"/>
      <c r="Q37" s="296"/>
      <c r="R37" s="89"/>
      <c r="S37" s="106"/>
      <c r="T37" s="31"/>
      <c r="U37" s="14"/>
      <c r="V37" s="14"/>
      <c r="W37" s="34"/>
      <c r="X37" s="177"/>
      <c r="Y37" s="80"/>
      <c r="Z37" s="31"/>
      <c r="AA37" s="14"/>
      <c r="AB37" s="14"/>
      <c r="AC37" s="34"/>
      <c r="AD37" s="155"/>
      <c r="AE37" s="78"/>
      <c r="AF37" s="15"/>
      <c r="AG37" s="3"/>
      <c r="AH37" s="3"/>
      <c r="AI37" s="11"/>
      <c r="AJ37" s="88"/>
      <c r="AK37" s="78"/>
      <c r="AL37" s="280" t="s">
        <v>492</v>
      </c>
      <c r="AM37" t="str">
        <f t="shared" si="3"/>
        <v>Primary &lt;760</v>
      </c>
    </row>
    <row r="38" spans="1:39" ht="16.5" thickBot="1">
      <c r="A38" s="28"/>
      <c r="B38" s="28"/>
      <c r="C38" s="28"/>
      <c r="D38" s="2"/>
      <c r="E38" s="171"/>
      <c r="F38" s="210">
        <f t="shared" si="2"/>
        <v>0</v>
      </c>
      <c r="G38" s="211"/>
      <c r="H38" s="20"/>
      <c r="I38" s="17"/>
      <c r="J38" s="17"/>
      <c r="K38" s="26"/>
      <c r="L38" s="90"/>
      <c r="M38" s="86"/>
      <c r="N38" s="20"/>
      <c r="O38" s="17"/>
      <c r="P38" s="17"/>
      <c r="Q38" s="288"/>
      <c r="R38" s="90"/>
      <c r="S38" s="99"/>
      <c r="T38" s="21"/>
      <c r="U38" s="17"/>
      <c r="V38" s="17"/>
      <c r="W38" s="26"/>
      <c r="X38" s="157"/>
      <c r="Y38" s="81"/>
      <c r="Z38" s="21"/>
      <c r="AA38" s="17"/>
      <c r="AB38" s="17"/>
      <c r="AC38" s="26"/>
      <c r="AD38" s="157"/>
      <c r="AE38" s="86"/>
      <c r="AF38" s="131"/>
      <c r="AG38" s="132"/>
      <c r="AH38" s="132"/>
      <c r="AI38" s="133"/>
      <c r="AJ38" s="134"/>
      <c r="AK38" s="135"/>
      <c r="AL38" s="280" t="s">
        <v>492</v>
      </c>
      <c r="AM38" t="str">
        <f t="shared" si="3"/>
        <v>Primary &lt;760</v>
      </c>
    </row>
    <row r="39" spans="1:39">
      <c r="A39" s="27"/>
      <c r="B39" s="27"/>
      <c r="C39" s="27"/>
      <c r="D39" s="7"/>
      <c r="E39" s="7"/>
      <c r="F39" s="183"/>
      <c r="G39" s="184"/>
      <c r="X39" s="180"/>
      <c r="Y39" s="180"/>
      <c r="AD39" s="180"/>
    </row>
    <row r="40" spans="1:39" ht="16.5" thickBot="1"/>
    <row r="41" spans="1:39" ht="24" thickBot="1">
      <c r="H41" s="418" t="s">
        <v>290</v>
      </c>
      <c r="I41" s="441"/>
      <c r="J41" s="441"/>
      <c r="K41" s="441"/>
      <c r="L41" s="441"/>
      <c r="M41" s="58"/>
      <c r="N41" s="442" t="s">
        <v>291</v>
      </c>
      <c r="O41" s="442"/>
      <c r="P41" s="442"/>
      <c r="Q41" s="442"/>
      <c r="R41" s="442"/>
      <c r="S41" s="60"/>
      <c r="T41" s="390" t="s">
        <v>292</v>
      </c>
      <c r="U41" s="391"/>
      <c r="V41" s="391"/>
      <c r="W41" s="391"/>
      <c r="X41" s="391"/>
      <c r="Y41" s="199"/>
      <c r="Z41" s="427" t="s">
        <v>293</v>
      </c>
      <c r="AA41" s="443"/>
      <c r="AB41" s="443"/>
      <c r="AC41" s="443"/>
      <c r="AD41" s="443"/>
      <c r="AE41" s="198"/>
      <c r="AF41" s="402" t="s">
        <v>294</v>
      </c>
      <c r="AG41" s="442"/>
      <c r="AH41" s="442"/>
      <c r="AI41" s="442"/>
      <c r="AJ41" s="442"/>
      <c r="AK41" s="60"/>
    </row>
    <row r="42" spans="1:39" s="43" customFormat="1" ht="63">
      <c r="A42" s="416" t="s">
        <v>319</v>
      </c>
      <c r="B42" s="409"/>
      <c r="C42" s="409"/>
      <c r="D42" s="409"/>
      <c r="E42" s="440"/>
      <c r="F42" s="117" t="s">
        <v>9</v>
      </c>
      <c r="G42" s="51" t="s">
        <v>10</v>
      </c>
      <c r="H42" s="38" t="s">
        <v>296</v>
      </c>
      <c r="I42" s="39" t="s">
        <v>11</v>
      </c>
      <c r="J42" s="40" t="s">
        <v>12</v>
      </c>
      <c r="K42" s="64" t="s">
        <v>297</v>
      </c>
      <c r="L42" s="97" t="s">
        <v>15</v>
      </c>
      <c r="M42" s="51" t="s">
        <v>298</v>
      </c>
      <c r="N42" s="282" t="s">
        <v>296</v>
      </c>
      <c r="O42" s="248" t="s">
        <v>11</v>
      </c>
      <c r="P42" s="248" t="s">
        <v>12</v>
      </c>
      <c r="Q42" s="286" t="s">
        <v>297</v>
      </c>
      <c r="R42" s="87" t="s">
        <v>15</v>
      </c>
      <c r="S42" s="57" t="s">
        <v>298</v>
      </c>
      <c r="T42" s="282" t="s">
        <v>296</v>
      </c>
      <c r="U42" s="248" t="s">
        <v>11</v>
      </c>
      <c r="V42" s="248" t="s">
        <v>12</v>
      </c>
      <c r="W42" s="281" t="s">
        <v>297</v>
      </c>
      <c r="X42" s="87" t="s">
        <v>15</v>
      </c>
      <c r="Y42" s="57" t="s">
        <v>298</v>
      </c>
      <c r="Z42" s="59" t="s">
        <v>296</v>
      </c>
      <c r="AA42" s="55" t="s">
        <v>11</v>
      </c>
      <c r="AB42" s="61" t="s">
        <v>12</v>
      </c>
      <c r="AC42" s="62" t="s">
        <v>297</v>
      </c>
      <c r="AD42" s="87" t="s">
        <v>15</v>
      </c>
      <c r="AE42" s="57" t="s">
        <v>298</v>
      </c>
      <c r="AF42" s="54" t="s">
        <v>296</v>
      </c>
      <c r="AG42" s="55" t="s">
        <v>11</v>
      </c>
      <c r="AH42" s="61" t="s">
        <v>12</v>
      </c>
      <c r="AI42" s="62" t="s">
        <v>297</v>
      </c>
      <c r="AJ42" s="91" t="s">
        <v>15</v>
      </c>
      <c r="AK42" s="57" t="s">
        <v>298</v>
      </c>
      <c r="AL42" s="43">
        <v>80</v>
      </c>
    </row>
    <row r="43" spans="1:39">
      <c r="A43" s="1" t="s">
        <v>22</v>
      </c>
      <c r="B43" s="1" t="s">
        <v>23</v>
      </c>
      <c r="C43" s="4" t="s">
        <v>24</v>
      </c>
      <c r="D43" s="1" t="s">
        <v>25</v>
      </c>
      <c r="E43" s="170" t="s">
        <v>26</v>
      </c>
      <c r="F43" s="93"/>
      <c r="G43" s="95"/>
      <c r="L43" s="88"/>
      <c r="M43" s="78"/>
      <c r="N43" s="283">
        <v>0</v>
      </c>
      <c r="O43" s="19">
        <v>0</v>
      </c>
      <c r="P43" s="19">
        <v>0</v>
      </c>
      <c r="Q43" s="287">
        <v>0</v>
      </c>
      <c r="R43" s="88">
        <v>0</v>
      </c>
      <c r="S43" s="79"/>
      <c r="W43" s="11"/>
      <c r="X43" s="88"/>
      <c r="Y43" s="78"/>
      <c r="Z43" s="19"/>
      <c r="AA43" s="3"/>
      <c r="AB43" s="3"/>
      <c r="AC43" s="11"/>
      <c r="AD43" s="88"/>
      <c r="AE43" s="78"/>
      <c r="AF43" s="15"/>
      <c r="AG43" s="3"/>
      <c r="AH43" s="3"/>
      <c r="AI43" s="11"/>
      <c r="AJ43" s="88"/>
      <c r="AK43" s="78"/>
      <c r="AL43" s="280" t="s">
        <v>492</v>
      </c>
      <c r="AM43" t="str">
        <f t="shared" ref="AM43:AM48" si="4">TRIM(A43&amp;B43&amp;D43&amp;AL43&amp;$AL$42)</f>
        <v>Rider First NameRider Last NameName of Pony/HorsePrimary &lt;780</v>
      </c>
    </row>
    <row r="44" spans="1:39">
      <c r="A44" s="3" t="s">
        <v>40</v>
      </c>
      <c r="B44" s="3" t="s">
        <v>41</v>
      </c>
      <c r="C44" s="202" t="s">
        <v>42</v>
      </c>
      <c r="D44" s="202" t="s">
        <v>43</v>
      </c>
      <c r="E44" s="205">
        <v>6</v>
      </c>
      <c r="F44" s="94">
        <f t="shared" ref="F44:F49" si="5">SUM(X44,L44,R44,AD44,AJ44)</f>
        <v>0</v>
      </c>
      <c r="G44" s="141"/>
      <c r="H44" s="15"/>
      <c r="I44" s="3"/>
      <c r="J44" s="3"/>
      <c r="K44" s="11"/>
      <c r="L44" s="88"/>
      <c r="M44" s="78"/>
      <c r="N44" s="283">
        <v>0</v>
      </c>
      <c r="O44" s="19">
        <v>0</v>
      </c>
      <c r="P44" s="19">
        <v>0</v>
      </c>
      <c r="Q44" s="287">
        <v>0</v>
      </c>
      <c r="R44" s="88">
        <v>0</v>
      </c>
      <c r="S44" s="78"/>
      <c r="T44" s="283">
        <v>0</v>
      </c>
      <c r="U44" s="19">
        <v>0</v>
      </c>
      <c r="V44" s="19">
        <v>0</v>
      </c>
      <c r="W44" s="287">
        <v>0</v>
      </c>
      <c r="X44" s="88">
        <v>0</v>
      </c>
      <c r="Y44" s="78"/>
      <c r="Z44" s="19"/>
      <c r="AA44" s="3"/>
      <c r="AB44" s="3"/>
      <c r="AC44" s="11"/>
      <c r="AD44" s="88"/>
      <c r="AE44" s="78"/>
      <c r="AF44" s="15"/>
      <c r="AG44" s="3"/>
      <c r="AH44" s="3"/>
      <c r="AI44" s="11"/>
      <c r="AJ44" s="88"/>
      <c r="AK44" s="78"/>
      <c r="AL44" s="280" t="s">
        <v>492</v>
      </c>
      <c r="AM44" t="str">
        <f t="shared" si="4"/>
        <v>ImogenCarmichaelLittle Black SuziPrimary &lt;780</v>
      </c>
    </row>
    <row r="45" spans="1:39">
      <c r="A45" s="14" t="s">
        <v>36</v>
      </c>
      <c r="B45" t="s">
        <v>37</v>
      </c>
      <c r="C45" s="14" t="s">
        <v>38</v>
      </c>
      <c r="D45" s="14" t="s">
        <v>500</v>
      </c>
      <c r="E45" s="171"/>
      <c r="F45" s="94">
        <f t="shared" si="5"/>
        <v>50</v>
      </c>
      <c r="G45" s="213">
        <f>SUM(S45,Y45)</f>
        <v>40</v>
      </c>
      <c r="H45" s="15"/>
      <c r="I45" s="3"/>
      <c r="J45" s="3"/>
      <c r="K45" s="11"/>
      <c r="L45" s="88"/>
      <c r="M45" s="78"/>
      <c r="N45" s="283">
        <v>0.63035714285714284</v>
      </c>
      <c r="O45" s="19">
        <v>4</v>
      </c>
      <c r="P45" s="19">
        <v>0</v>
      </c>
      <c r="Q45" s="287">
        <v>40.964285714285715</v>
      </c>
      <c r="R45" s="88">
        <v>25</v>
      </c>
      <c r="S45" s="78">
        <v>20</v>
      </c>
      <c r="T45" s="283">
        <v>0.67500000000000004</v>
      </c>
      <c r="U45" s="19">
        <v>4</v>
      </c>
      <c r="V45" s="19">
        <v>0</v>
      </c>
      <c r="W45" s="287">
        <v>36.499999999999993</v>
      </c>
      <c r="X45" s="88">
        <v>25</v>
      </c>
      <c r="Y45" s="78">
        <v>20</v>
      </c>
      <c r="Z45" s="19"/>
      <c r="AA45" s="3"/>
      <c r="AB45" s="2"/>
      <c r="AC45" s="5"/>
      <c r="AD45" s="88"/>
      <c r="AE45" s="78"/>
      <c r="AF45" s="15">
        <v>52.19</v>
      </c>
      <c r="AG45" s="3">
        <v>0</v>
      </c>
      <c r="AH45" s="2">
        <v>0</v>
      </c>
      <c r="AI45" s="5">
        <v>0</v>
      </c>
      <c r="AJ45" s="88"/>
      <c r="AK45" s="78"/>
      <c r="AL45" s="280" t="s">
        <v>492</v>
      </c>
      <c r="AM45" t="str">
        <f t="shared" si="4"/>
        <v>EllieMeaneyLORIOT PANDORAPrimary &lt;780</v>
      </c>
    </row>
    <row r="46" spans="1:39">
      <c r="A46" s="221" t="s">
        <v>36</v>
      </c>
      <c r="B46" s="221" t="s">
        <v>37</v>
      </c>
      <c r="C46" s="221" t="s">
        <v>38</v>
      </c>
      <c r="D46" s="3" t="s">
        <v>170</v>
      </c>
      <c r="E46" s="171"/>
      <c r="F46" s="94">
        <f t="shared" si="5"/>
        <v>0</v>
      </c>
      <c r="G46" s="141"/>
      <c r="H46" s="15"/>
      <c r="I46" s="3"/>
      <c r="J46" s="3"/>
      <c r="K46" s="11"/>
      <c r="L46" s="88"/>
      <c r="M46" s="78"/>
      <c r="N46" s="283">
        <v>0</v>
      </c>
      <c r="O46" s="19">
        <v>0</v>
      </c>
      <c r="P46" s="19">
        <v>0</v>
      </c>
      <c r="Q46" s="287">
        <v>0</v>
      </c>
      <c r="R46" s="88">
        <v>0</v>
      </c>
      <c r="S46" s="78"/>
      <c r="T46" s="283">
        <v>0</v>
      </c>
      <c r="U46" s="19">
        <v>0</v>
      </c>
      <c r="V46" s="19">
        <v>0</v>
      </c>
      <c r="W46" s="287">
        <v>0</v>
      </c>
      <c r="X46" s="88">
        <v>0</v>
      </c>
      <c r="Y46" s="78"/>
      <c r="Z46" s="19"/>
      <c r="AA46" s="3"/>
      <c r="AB46" s="3"/>
      <c r="AC46" s="11"/>
      <c r="AD46" s="88"/>
      <c r="AE46" s="78"/>
      <c r="AF46" s="15"/>
      <c r="AG46" s="3"/>
      <c r="AH46" s="3"/>
      <c r="AI46" s="11"/>
      <c r="AJ46" s="88"/>
      <c r="AK46" s="78"/>
      <c r="AL46" s="280" t="s">
        <v>492</v>
      </c>
      <c r="AM46" t="str">
        <f t="shared" si="4"/>
        <v>EllieMeaneyTanglewood Park Day DreamsPrimary &lt;780</v>
      </c>
    </row>
    <row r="47" spans="1:39">
      <c r="A47" s="202" t="s">
        <v>342</v>
      </c>
      <c r="B47" s="202" t="s">
        <v>53</v>
      </c>
      <c r="C47" s="202" t="s">
        <v>42</v>
      </c>
      <c r="D47" s="202" t="s">
        <v>501</v>
      </c>
      <c r="E47" s="172"/>
      <c r="F47" s="94">
        <f t="shared" si="5"/>
        <v>0</v>
      </c>
      <c r="G47" s="141"/>
      <c r="H47" s="23">
        <v>68.569999999999993</v>
      </c>
      <c r="I47" s="239">
        <v>12</v>
      </c>
      <c r="J47" s="14">
        <v>6.8</v>
      </c>
      <c r="K47" s="34">
        <v>50.2</v>
      </c>
      <c r="L47" s="240" t="s">
        <v>31</v>
      </c>
      <c r="M47" s="85"/>
      <c r="N47" s="283">
        <v>0.63214285714285712</v>
      </c>
      <c r="O47" s="19">
        <v>12</v>
      </c>
      <c r="P47" s="19">
        <v>12.4</v>
      </c>
      <c r="Q47" s="287">
        <v>61.18571428571429</v>
      </c>
      <c r="R47" s="88">
        <v>0</v>
      </c>
      <c r="S47" s="85"/>
      <c r="T47" s="283">
        <v>0.64910000000000001</v>
      </c>
      <c r="U47" s="19">
        <v>16</v>
      </c>
      <c r="V47" s="19">
        <v>8.6999999999999993</v>
      </c>
      <c r="W47" s="287">
        <v>59.789999999999992</v>
      </c>
      <c r="X47" s="88">
        <v>0</v>
      </c>
      <c r="Y47" s="85"/>
      <c r="Z47" s="31"/>
      <c r="AA47" s="14"/>
      <c r="AB47" s="14"/>
      <c r="AC47" s="34"/>
      <c r="AD47" s="88"/>
      <c r="AE47" s="78"/>
      <c r="AF47" s="15"/>
      <c r="AG47" s="3"/>
      <c r="AH47" s="3"/>
      <c r="AI47" s="11"/>
      <c r="AJ47" s="88"/>
      <c r="AK47" s="78"/>
      <c r="AL47" s="280" t="s">
        <v>492</v>
      </c>
      <c r="AM47" t="str">
        <f t="shared" si="4"/>
        <v>ZoeJamesGUNDERMEIN TOUCH OF LUCKPrimary &lt;780</v>
      </c>
    </row>
    <row r="48" spans="1:39">
      <c r="A48" s="14" t="s">
        <v>32</v>
      </c>
      <c r="B48" s="14" t="s">
        <v>33</v>
      </c>
      <c r="C48" s="14" t="s">
        <v>34</v>
      </c>
      <c r="D48" s="202" t="s">
        <v>35</v>
      </c>
      <c r="E48" s="171"/>
      <c r="F48" s="94">
        <f t="shared" si="5"/>
        <v>0</v>
      </c>
      <c r="G48" s="141"/>
      <c r="H48" s="23"/>
      <c r="I48" s="14"/>
      <c r="J48" s="14"/>
      <c r="K48" s="34"/>
      <c r="L48" s="89"/>
      <c r="M48" s="85"/>
      <c r="N48" s="283">
        <v>0</v>
      </c>
      <c r="O48" s="19">
        <v>0</v>
      </c>
      <c r="P48" s="19">
        <v>0</v>
      </c>
      <c r="Q48" s="287">
        <v>0</v>
      </c>
      <c r="R48" s="88">
        <v>0</v>
      </c>
      <c r="S48" s="85"/>
      <c r="T48" s="283">
        <v>0</v>
      </c>
      <c r="U48" s="19">
        <v>0</v>
      </c>
      <c r="V48" s="19">
        <v>0</v>
      </c>
      <c r="W48" s="287">
        <v>0</v>
      </c>
      <c r="X48" s="88">
        <v>0</v>
      </c>
      <c r="Y48" s="85"/>
      <c r="Z48" s="31"/>
      <c r="AA48" s="14"/>
      <c r="AB48" s="14"/>
      <c r="AC48" s="34"/>
      <c r="AD48" s="89"/>
      <c r="AE48" s="78"/>
      <c r="AF48" s="15"/>
      <c r="AG48" s="3"/>
      <c r="AH48" s="3"/>
      <c r="AI48" s="11"/>
      <c r="AJ48" s="88"/>
      <c r="AK48" s="78"/>
      <c r="AL48" s="280" t="s">
        <v>492</v>
      </c>
      <c r="AM48" t="str">
        <f t="shared" si="4"/>
        <v>CarlyRobertsKapeta LangleyPrimary &lt;780</v>
      </c>
    </row>
    <row r="49" spans="1:39" ht="16.5" thickBot="1">
      <c r="A49" s="2"/>
      <c r="B49" s="2"/>
      <c r="C49" s="2"/>
      <c r="D49" s="2"/>
      <c r="E49" s="171"/>
      <c r="F49" s="210">
        <f t="shared" si="5"/>
        <v>0</v>
      </c>
      <c r="G49" s="211"/>
      <c r="H49" s="20"/>
      <c r="I49" s="17"/>
      <c r="J49" s="17"/>
      <c r="K49" s="26"/>
      <c r="L49" s="90"/>
      <c r="M49" s="86"/>
      <c r="N49" s="283">
        <v>0</v>
      </c>
      <c r="O49" s="19">
        <v>0</v>
      </c>
      <c r="P49" s="19">
        <v>0</v>
      </c>
      <c r="Q49" s="287">
        <v>0</v>
      </c>
      <c r="R49" s="88">
        <v>0</v>
      </c>
      <c r="S49" s="86"/>
      <c r="T49" s="19"/>
      <c r="U49" s="3"/>
      <c r="V49" s="3"/>
      <c r="W49" s="11"/>
      <c r="X49" s="90"/>
      <c r="Y49" s="86"/>
      <c r="Z49" s="19"/>
      <c r="AA49" s="3"/>
      <c r="AB49" s="3"/>
      <c r="AC49" s="11"/>
      <c r="AD49" s="90"/>
      <c r="AE49" s="86"/>
      <c r="AF49" s="131"/>
      <c r="AG49" s="132"/>
      <c r="AH49" s="132"/>
      <c r="AI49" s="133"/>
      <c r="AJ49" s="134"/>
      <c r="AK49" s="135"/>
    </row>
    <row r="51" spans="1:39" ht="16.5" thickBot="1"/>
    <row r="52" spans="1:39" ht="24" thickBot="1">
      <c r="H52" s="418" t="s">
        <v>290</v>
      </c>
      <c r="I52" s="441"/>
      <c r="J52" s="441"/>
      <c r="K52" s="441"/>
      <c r="L52" s="441"/>
      <c r="M52" s="58"/>
      <c r="N52" s="442" t="s">
        <v>291</v>
      </c>
      <c r="O52" s="442"/>
      <c r="P52" s="442"/>
      <c r="Q52" s="442"/>
      <c r="R52" s="442"/>
      <c r="S52" s="60"/>
      <c r="T52" s="390" t="s">
        <v>292</v>
      </c>
      <c r="U52" s="391"/>
      <c r="V52" s="391"/>
      <c r="W52" s="391"/>
      <c r="X52" s="391"/>
      <c r="Y52" s="199"/>
      <c r="Z52" s="427" t="s">
        <v>293</v>
      </c>
      <c r="AA52" s="443"/>
      <c r="AB52" s="443"/>
      <c r="AC52" s="443"/>
      <c r="AD52" s="443"/>
      <c r="AE52" s="198"/>
      <c r="AF52" s="402" t="s">
        <v>294</v>
      </c>
      <c r="AG52" s="442"/>
      <c r="AH52" s="442"/>
      <c r="AI52" s="442"/>
      <c r="AJ52" s="442"/>
      <c r="AK52" s="60"/>
    </row>
    <row r="53" spans="1:39" s="45" customFormat="1" ht="63">
      <c r="A53" s="416" t="s">
        <v>320</v>
      </c>
      <c r="B53" s="409"/>
      <c r="C53" s="409"/>
      <c r="D53" s="409"/>
      <c r="E53" s="409"/>
      <c r="F53" s="117" t="s">
        <v>9</v>
      </c>
      <c r="G53" s="51" t="s">
        <v>10</v>
      </c>
      <c r="H53" s="46" t="s">
        <v>296</v>
      </c>
      <c r="I53" s="39" t="s">
        <v>11</v>
      </c>
      <c r="J53" s="39" t="s">
        <v>12</v>
      </c>
      <c r="K53" s="52" t="s">
        <v>297</v>
      </c>
      <c r="L53" s="97" t="s">
        <v>15</v>
      </c>
      <c r="M53" s="51" t="s">
        <v>298</v>
      </c>
      <c r="N53" s="333" t="s">
        <v>296</v>
      </c>
      <c r="O53" s="248" t="s">
        <v>11</v>
      </c>
      <c r="P53" s="248" t="s">
        <v>12</v>
      </c>
      <c r="Q53" s="286" t="s">
        <v>297</v>
      </c>
      <c r="R53" s="97" t="s">
        <v>15</v>
      </c>
      <c r="S53" s="51" t="s">
        <v>298</v>
      </c>
      <c r="T53" s="333" t="s">
        <v>296</v>
      </c>
      <c r="U53" s="248" t="s">
        <v>11</v>
      </c>
      <c r="V53" s="248" t="s">
        <v>12</v>
      </c>
      <c r="W53" s="281" t="s">
        <v>297</v>
      </c>
      <c r="X53" s="97" t="s">
        <v>15</v>
      </c>
      <c r="Y53" s="51" t="s">
        <v>298</v>
      </c>
      <c r="Z53" s="54" t="s">
        <v>296</v>
      </c>
      <c r="AA53" s="55" t="s">
        <v>11</v>
      </c>
      <c r="AB53" s="55" t="s">
        <v>12</v>
      </c>
      <c r="AC53" s="56" t="s">
        <v>297</v>
      </c>
      <c r="AD53" s="97" t="s">
        <v>15</v>
      </c>
      <c r="AE53" s="57" t="s">
        <v>298</v>
      </c>
      <c r="AF53" s="54" t="s">
        <v>296</v>
      </c>
      <c r="AG53" s="55" t="s">
        <v>11</v>
      </c>
      <c r="AH53" s="61" t="s">
        <v>12</v>
      </c>
      <c r="AI53" s="62" t="s">
        <v>297</v>
      </c>
      <c r="AJ53" s="332" t="s">
        <v>15</v>
      </c>
      <c r="AK53" s="65" t="s">
        <v>298</v>
      </c>
      <c r="AL53" s="45">
        <v>60</v>
      </c>
    </row>
    <row r="54" spans="1:39">
      <c r="A54" s="1" t="s">
        <v>22</v>
      </c>
      <c r="B54" s="1" t="s">
        <v>23</v>
      </c>
      <c r="C54" s="4" t="s">
        <v>24</v>
      </c>
      <c r="D54" s="1" t="s">
        <v>25</v>
      </c>
      <c r="E54" s="170" t="s">
        <v>26</v>
      </c>
      <c r="F54" s="94"/>
      <c r="G54" s="96"/>
      <c r="H54" s="19"/>
      <c r="I54" s="3"/>
      <c r="J54" s="3"/>
      <c r="K54" s="11"/>
      <c r="L54" s="88"/>
      <c r="M54" s="78"/>
      <c r="N54" s="19"/>
      <c r="O54" s="3"/>
      <c r="P54" s="3"/>
      <c r="Q54" s="273"/>
      <c r="R54" s="88"/>
      <c r="S54" s="98"/>
      <c r="T54" s="19"/>
      <c r="U54" s="3"/>
      <c r="V54" s="3"/>
      <c r="W54" s="11"/>
      <c r="X54" s="88"/>
      <c r="Y54" s="98"/>
      <c r="Z54" s="15"/>
      <c r="AA54" s="3"/>
      <c r="AB54" s="3"/>
      <c r="AC54" s="11"/>
      <c r="AD54" s="88"/>
      <c r="AE54" s="78"/>
      <c r="AF54" s="15"/>
      <c r="AG54" s="3"/>
      <c r="AH54" s="3"/>
      <c r="AI54" s="11"/>
      <c r="AJ54" s="88"/>
      <c r="AK54" s="98"/>
      <c r="AL54" s="302" t="s">
        <v>491</v>
      </c>
      <c r="AM54" t="str">
        <f>A54&amp;B54&amp;D54&amp;AL54&amp;$AL$53</f>
        <v>Rider First NameRider Last NameName of Pony/HorseSecondary &gt;960</v>
      </c>
    </row>
    <row r="55" spans="1:39" ht="17.100000000000001" customHeight="1">
      <c r="A55" s="3" t="s">
        <v>61</v>
      </c>
      <c r="B55" s="3" t="s">
        <v>62</v>
      </c>
      <c r="C55" s="205" t="s">
        <v>63</v>
      </c>
      <c r="D55" s="202" t="s">
        <v>64</v>
      </c>
      <c r="E55" s="217">
        <v>7</v>
      </c>
      <c r="F55" s="94">
        <f t="shared" ref="F55:F78" si="6">SUM(X55,L55,R55,AD55,AJ55)</f>
        <v>19</v>
      </c>
      <c r="G55" s="141"/>
      <c r="H55" s="19"/>
      <c r="I55" s="3"/>
      <c r="J55" s="3"/>
      <c r="K55" s="11"/>
      <c r="L55" s="88"/>
      <c r="M55" s="78"/>
      <c r="N55" s="283">
        <v>0</v>
      </c>
      <c r="O55" s="19">
        <v>0</v>
      </c>
      <c r="P55" s="19">
        <v>0</v>
      </c>
      <c r="Q55" s="287">
        <v>0</v>
      </c>
      <c r="R55" s="88">
        <v>0</v>
      </c>
      <c r="S55" s="98"/>
      <c r="T55" s="283">
        <v>0</v>
      </c>
      <c r="U55" s="19">
        <v>0</v>
      </c>
      <c r="V55" s="19">
        <v>0</v>
      </c>
      <c r="W55" s="287">
        <v>0</v>
      </c>
      <c r="X55" s="88">
        <v>0</v>
      </c>
      <c r="Y55" s="98"/>
      <c r="Z55" s="15"/>
      <c r="AA55" s="3"/>
      <c r="AB55" s="3"/>
      <c r="AC55" s="11"/>
      <c r="AD55" s="88"/>
      <c r="AE55" s="78"/>
      <c r="AF55" s="15">
        <v>72.5</v>
      </c>
      <c r="AG55" s="3">
        <v>0</v>
      </c>
      <c r="AH55" s="3">
        <v>0</v>
      </c>
      <c r="AI55" s="11"/>
      <c r="AJ55" s="88">
        <v>19</v>
      </c>
      <c r="AK55" s="98"/>
      <c r="AL55" s="302" t="s">
        <v>491</v>
      </c>
      <c r="AM55" t="str">
        <f t="shared" ref="AM55:AM78" si="7">A55&amp;B55&amp;D55&amp;AL55&amp;$AL$53</f>
        <v>AbigailGrahamWyann Guns and RosesSecondary &gt;960</v>
      </c>
    </row>
    <row r="56" spans="1:39">
      <c r="A56" s="3" t="s">
        <v>214</v>
      </c>
      <c r="B56" s="3" t="s">
        <v>215</v>
      </c>
      <c r="C56" s="205" t="s">
        <v>63</v>
      </c>
      <c r="D56" s="202" t="s">
        <v>216</v>
      </c>
      <c r="E56" s="205">
        <v>7</v>
      </c>
      <c r="F56" s="94">
        <f t="shared" si="6"/>
        <v>0</v>
      </c>
      <c r="G56" s="141"/>
      <c r="H56" s="19"/>
      <c r="I56" s="3"/>
      <c r="J56" s="3"/>
      <c r="K56" s="11"/>
      <c r="L56" s="88"/>
      <c r="M56" s="78"/>
      <c r="N56" s="283">
        <v>0</v>
      </c>
      <c r="O56" s="19">
        <v>0</v>
      </c>
      <c r="P56" s="19">
        <v>0</v>
      </c>
      <c r="Q56" s="287">
        <v>0</v>
      </c>
      <c r="R56" s="88">
        <v>0</v>
      </c>
      <c r="S56" s="98"/>
      <c r="T56" s="283">
        <v>0</v>
      </c>
      <c r="U56" s="19">
        <v>0</v>
      </c>
      <c r="V56" s="19">
        <v>0</v>
      </c>
      <c r="W56" s="287">
        <v>0</v>
      </c>
      <c r="X56" s="88">
        <v>0</v>
      </c>
      <c r="Y56" s="98"/>
      <c r="Z56" s="15"/>
      <c r="AA56" s="3"/>
      <c r="AB56" s="2"/>
      <c r="AC56" s="11"/>
      <c r="AD56" s="88"/>
      <c r="AE56" s="78"/>
      <c r="AF56" s="15"/>
      <c r="AG56" s="3"/>
      <c r="AH56" s="2"/>
      <c r="AI56" s="5"/>
      <c r="AJ56" s="88"/>
      <c r="AK56" s="98"/>
      <c r="AL56" s="302" t="s">
        <v>491</v>
      </c>
      <c r="AM56" t="str">
        <f t="shared" si="7"/>
        <v>AdelaideNobleCalumet VictorySecondary &gt;960</v>
      </c>
    </row>
    <row r="57" spans="1:39">
      <c r="A57" s="3" t="s">
        <v>186</v>
      </c>
      <c r="B57" s="3" t="s">
        <v>187</v>
      </c>
      <c r="C57" s="205" t="s">
        <v>188</v>
      </c>
      <c r="D57" s="202" t="s">
        <v>189</v>
      </c>
      <c r="E57" s="205">
        <v>9</v>
      </c>
      <c r="F57" s="94">
        <f t="shared" si="6"/>
        <v>27</v>
      </c>
      <c r="G57" s="213">
        <f>Y57+M57</f>
        <v>22</v>
      </c>
      <c r="H57" s="19">
        <v>61.43</v>
      </c>
      <c r="I57" s="3">
        <v>0</v>
      </c>
      <c r="J57" s="3">
        <v>5.6</v>
      </c>
      <c r="K57" s="11">
        <f>J57+I57</f>
        <v>5.6</v>
      </c>
      <c r="L57" s="88">
        <v>5</v>
      </c>
      <c r="M57" s="78">
        <v>5</v>
      </c>
      <c r="N57" s="283">
        <v>0.64017857142857137</v>
      </c>
      <c r="O57" s="19">
        <v>8</v>
      </c>
      <c r="P57" s="19">
        <v>4</v>
      </c>
      <c r="Q57" s="287">
        <v>47.982142857142861</v>
      </c>
      <c r="R57" s="88">
        <v>0</v>
      </c>
      <c r="S57" s="98"/>
      <c r="T57" s="283">
        <v>0.61874999999999991</v>
      </c>
      <c r="U57" s="19">
        <v>0</v>
      </c>
      <c r="V57" s="19">
        <v>0</v>
      </c>
      <c r="W57" s="287">
        <v>38.125000000000007</v>
      </c>
      <c r="X57" s="88">
        <v>22</v>
      </c>
      <c r="Y57" s="78">
        <v>17</v>
      </c>
      <c r="Z57" s="15"/>
      <c r="AA57" s="3"/>
      <c r="AB57" s="3"/>
      <c r="AC57" s="11"/>
      <c r="AD57" s="88"/>
      <c r="AE57" s="78"/>
      <c r="AF57" s="15"/>
      <c r="AG57" s="3"/>
      <c r="AH57" s="3"/>
      <c r="AI57" s="11"/>
      <c r="AJ57" s="88"/>
      <c r="AK57" s="98"/>
      <c r="AL57" s="302" t="s">
        <v>491</v>
      </c>
      <c r="AM57" t="str">
        <f t="shared" si="7"/>
        <v>EllanaPrinciEP RoyaleSecondary &gt;960</v>
      </c>
    </row>
    <row r="58" spans="1:39">
      <c r="A58" s="3" t="s">
        <v>129</v>
      </c>
      <c r="B58" s="3" t="s">
        <v>130</v>
      </c>
      <c r="C58" s="205" t="s">
        <v>63</v>
      </c>
      <c r="D58" s="202" t="s">
        <v>131</v>
      </c>
      <c r="E58" s="205">
        <v>11</v>
      </c>
      <c r="F58" s="94">
        <f t="shared" si="6"/>
        <v>14</v>
      </c>
      <c r="G58" s="141"/>
      <c r="H58" s="19">
        <v>66.430000000000007</v>
      </c>
      <c r="I58" s="3">
        <v>0</v>
      </c>
      <c r="J58" s="3">
        <v>0</v>
      </c>
      <c r="K58" s="11">
        <f t="shared" ref="K58:K75" si="8">J58+I58</f>
        <v>0</v>
      </c>
      <c r="L58" s="88">
        <v>14</v>
      </c>
      <c r="M58" s="78">
        <v>14</v>
      </c>
      <c r="N58" s="283">
        <v>0</v>
      </c>
      <c r="O58" s="19">
        <v>0</v>
      </c>
      <c r="P58" s="19">
        <v>0</v>
      </c>
      <c r="Q58" s="287">
        <v>0</v>
      </c>
      <c r="R58" s="88">
        <v>0</v>
      </c>
      <c r="S58" s="98"/>
      <c r="T58" s="283">
        <v>0</v>
      </c>
      <c r="U58" s="19">
        <v>0</v>
      </c>
      <c r="V58" s="19">
        <v>0</v>
      </c>
      <c r="W58" s="287">
        <v>0</v>
      </c>
      <c r="X58" s="88">
        <v>0</v>
      </c>
      <c r="Y58" s="98"/>
      <c r="Z58" s="15"/>
      <c r="AA58" s="3"/>
      <c r="AB58" s="3"/>
      <c r="AC58" s="11"/>
      <c r="AD58" s="88"/>
      <c r="AE58" s="78"/>
      <c r="AF58" s="15"/>
      <c r="AG58" s="3"/>
      <c r="AH58" s="3"/>
      <c r="AI58" s="11"/>
      <c r="AJ58" s="88"/>
      <c r="AK58" s="98"/>
      <c r="AL58" s="302" t="s">
        <v>491</v>
      </c>
      <c r="AM58" t="str">
        <f t="shared" si="7"/>
        <v>SabelaMooreForrest GumppSecondary &gt;960</v>
      </c>
    </row>
    <row r="59" spans="1:39">
      <c r="A59" s="221" t="s">
        <v>193</v>
      </c>
      <c r="B59" s="221" t="s">
        <v>194</v>
      </c>
      <c r="C59" s="225" t="s">
        <v>195</v>
      </c>
      <c r="D59" s="225" t="s">
        <v>196</v>
      </c>
      <c r="E59" s="216">
        <v>7</v>
      </c>
      <c r="F59" s="94">
        <f t="shared" si="6"/>
        <v>0</v>
      </c>
      <c r="G59" s="141"/>
      <c r="H59" s="19">
        <v>60.54</v>
      </c>
      <c r="I59" s="3"/>
      <c r="J59" s="236" t="s">
        <v>70</v>
      </c>
      <c r="K59" s="11"/>
      <c r="L59" s="235"/>
      <c r="M59" s="78" t="s">
        <v>31</v>
      </c>
      <c r="N59" s="283">
        <v>0</v>
      </c>
      <c r="O59" s="19">
        <v>0</v>
      </c>
      <c r="P59" s="19">
        <v>0</v>
      </c>
      <c r="Q59" s="287">
        <v>0</v>
      </c>
      <c r="R59" s="88">
        <v>0</v>
      </c>
      <c r="S59" s="98"/>
      <c r="T59" s="283">
        <v>0</v>
      </c>
      <c r="U59" s="19">
        <v>0</v>
      </c>
      <c r="V59" s="19">
        <v>0</v>
      </c>
      <c r="W59" s="287">
        <v>0</v>
      </c>
      <c r="X59" s="88">
        <v>0</v>
      </c>
      <c r="Y59" s="98"/>
      <c r="Z59" s="15"/>
      <c r="AA59" s="3"/>
      <c r="AB59" s="3"/>
      <c r="AC59" s="11"/>
      <c r="AD59" s="88"/>
      <c r="AE59" s="78"/>
      <c r="AF59" s="15"/>
      <c r="AG59" s="3"/>
      <c r="AH59" s="3"/>
      <c r="AI59" s="11"/>
      <c r="AJ59" s="88"/>
      <c r="AK59" s="98"/>
      <c r="AL59" s="302" t="s">
        <v>491</v>
      </c>
      <c r="AM59" t="str">
        <f t="shared" si="7"/>
        <v>IslaPettmanShropshire Posh JoshSecondary &gt;960</v>
      </c>
    </row>
    <row r="60" spans="1:39">
      <c r="A60" s="221" t="s">
        <v>260</v>
      </c>
      <c r="B60" s="221" t="s">
        <v>261</v>
      </c>
      <c r="C60" s="225" t="s">
        <v>262</v>
      </c>
      <c r="D60" s="225" t="s">
        <v>263</v>
      </c>
      <c r="E60" s="218">
        <v>11</v>
      </c>
      <c r="F60" s="94">
        <f t="shared" si="6"/>
        <v>8</v>
      </c>
      <c r="G60" s="141"/>
      <c r="H60" s="19">
        <v>65</v>
      </c>
      <c r="I60" s="3">
        <v>8</v>
      </c>
      <c r="J60" s="3">
        <v>0</v>
      </c>
      <c r="K60" s="11">
        <f t="shared" si="8"/>
        <v>8</v>
      </c>
      <c r="L60" s="88">
        <v>8</v>
      </c>
      <c r="M60" s="78">
        <v>8</v>
      </c>
      <c r="N60" s="283">
        <v>0</v>
      </c>
      <c r="O60" s="19">
        <v>0</v>
      </c>
      <c r="P60" s="19">
        <v>0</v>
      </c>
      <c r="Q60" s="287">
        <v>0</v>
      </c>
      <c r="R60" s="88">
        <v>0</v>
      </c>
      <c r="S60" s="98"/>
      <c r="T60" s="283">
        <v>0</v>
      </c>
      <c r="U60" s="19">
        <v>0</v>
      </c>
      <c r="V60" s="19">
        <v>0</v>
      </c>
      <c r="W60" s="287">
        <v>0</v>
      </c>
      <c r="X60" s="88">
        <v>0</v>
      </c>
      <c r="Y60" s="98"/>
      <c r="Z60" s="15"/>
      <c r="AA60" s="3"/>
      <c r="AB60" s="3"/>
      <c r="AC60" s="11"/>
      <c r="AD60" s="88"/>
      <c r="AE60" s="78"/>
      <c r="AF60" s="15"/>
      <c r="AG60" s="3"/>
      <c r="AH60" s="3"/>
      <c r="AI60" s="11"/>
      <c r="AJ60" s="88"/>
      <c r="AK60" s="98"/>
      <c r="AL60" s="302" t="s">
        <v>491</v>
      </c>
      <c r="AM60" t="str">
        <f t="shared" si="7"/>
        <v>AureliaPyneCarrots JazzSecondary &gt;960</v>
      </c>
    </row>
    <row r="61" spans="1:39">
      <c r="A61" s="3" t="s">
        <v>74</v>
      </c>
      <c r="B61" s="3" t="s">
        <v>75</v>
      </c>
      <c r="C61" s="202" t="s">
        <v>63</v>
      </c>
      <c r="D61" s="202" t="s">
        <v>76</v>
      </c>
      <c r="E61" s="218">
        <v>8</v>
      </c>
      <c r="F61" s="94">
        <f t="shared" si="6"/>
        <v>7</v>
      </c>
      <c r="G61" s="141"/>
      <c r="H61" s="19">
        <v>60.54</v>
      </c>
      <c r="I61" s="3">
        <v>0</v>
      </c>
      <c r="J61" s="3">
        <v>3.6</v>
      </c>
      <c r="K61" s="11">
        <f t="shared" si="8"/>
        <v>3.6</v>
      </c>
      <c r="L61" s="88">
        <v>7</v>
      </c>
      <c r="M61" s="78">
        <v>7</v>
      </c>
      <c r="N61" s="283">
        <v>0</v>
      </c>
      <c r="O61" s="19">
        <v>0</v>
      </c>
      <c r="P61" s="19">
        <v>0</v>
      </c>
      <c r="Q61" s="287">
        <v>0</v>
      </c>
      <c r="R61" s="88">
        <v>0</v>
      </c>
      <c r="S61" s="98"/>
      <c r="T61" s="283">
        <v>0</v>
      </c>
      <c r="U61" s="19">
        <v>0</v>
      </c>
      <c r="V61" s="19">
        <v>0</v>
      </c>
      <c r="W61" s="287">
        <v>0</v>
      </c>
      <c r="X61" s="88">
        <v>0</v>
      </c>
      <c r="Y61" s="98"/>
      <c r="Z61" s="15"/>
      <c r="AA61" s="3"/>
      <c r="AB61" s="3"/>
      <c r="AC61" s="11"/>
      <c r="AD61" s="88"/>
      <c r="AE61" s="78"/>
      <c r="AF61" s="15"/>
      <c r="AG61" s="3"/>
      <c r="AH61" s="3"/>
      <c r="AI61" s="11"/>
      <c r="AJ61" s="88"/>
      <c r="AK61" s="98"/>
      <c r="AL61" s="302" t="s">
        <v>491</v>
      </c>
      <c r="AM61" t="str">
        <f t="shared" si="7"/>
        <v>GeorginaGleesonCurralong Park FrankelSecondary &gt;960</v>
      </c>
    </row>
    <row r="62" spans="1:39">
      <c r="A62" s="3" t="s">
        <v>264</v>
      </c>
      <c r="B62" s="3" t="s">
        <v>265</v>
      </c>
      <c r="C62" s="202" t="s">
        <v>266</v>
      </c>
      <c r="D62" s="202" t="s">
        <v>267</v>
      </c>
      <c r="E62" s="205">
        <v>12</v>
      </c>
      <c r="F62" s="94">
        <f t="shared" si="6"/>
        <v>22</v>
      </c>
      <c r="G62" s="141"/>
      <c r="H62" s="19"/>
      <c r="I62" s="3"/>
      <c r="J62" s="3"/>
      <c r="K62" s="11">
        <f t="shared" si="8"/>
        <v>0</v>
      </c>
      <c r="L62" s="88"/>
      <c r="M62" s="78"/>
      <c r="N62" s="283">
        <v>0.67142857142857137</v>
      </c>
      <c r="O62" s="19">
        <v>4</v>
      </c>
      <c r="P62" s="19">
        <v>0</v>
      </c>
      <c r="Q62" s="287">
        <v>36.857142857142861</v>
      </c>
      <c r="R62" s="88">
        <v>22</v>
      </c>
      <c r="S62" s="78">
        <v>17</v>
      </c>
      <c r="T62" s="283" t="s">
        <v>505</v>
      </c>
      <c r="U62" s="19" t="s">
        <v>495</v>
      </c>
      <c r="V62" s="19" t="s">
        <v>495</v>
      </c>
      <c r="W62" s="287" t="s">
        <v>493</v>
      </c>
      <c r="X62" s="88">
        <v>0</v>
      </c>
      <c r="Y62" s="98"/>
      <c r="Z62" s="15"/>
      <c r="AA62" s="3"/>
      <c r="AB62" s="3"/>
      <c r="AC62" s="11"/>
      <c r="AD62" s="88"/>
      <c r="AE62" s="78"/>
      <c r="AF62" s="15"/>
      <c r="AG62" s="3"/>
      <c r="AH62" s="3"/>
      <c r="AI62" s="11"/>
      <c r="AJ62" s="88"/>
      <c r="AK62" s="98"/>
      <c r="AL62" s="302" t="s">
        <v>491</v>
      </c>
      <c r="AM62" t="str">
        <f t="shared" si="7"/>
        <v>CelesteKriznicBoronia FernandoSecondary &gt;960</v>
      </c>
    </row>
    <row r="63" spans="1:39">
      <c r="A63" s="3" t="s">
        <v>99</v>
      </c>
      <c r="B63" s="3" t="s">
        <v>41</v>
      </c>
      <c r="C63" s="202" t="s">
        <v>42</v>
      </c>
      <c r="D63" s="202" t="s">
        <v>212</v>
      </c>
      <c r="E63" s="218">
        <v>7</v>
      </c>
      <c r="F63" s="94">
        <f t="shared" si="6"/>
        <v>89</v>
      </c>
      <c r="G63" s="213">
        <f>S63+M63</f>
        <v>40</v>
      </c>
      <c r="H63" s="19">
        <v>71.25</v>
      </c>
      <c r="I63" s="3">
        <v>0</v>
      </c>
      <c r="J63" s="3">
        <v>0.4</v>
      </c>
      <c r="K63" s="11">
        <f t="shared" si="8"/>
        <v>0.4</v>
      </c>
      <c r="L63" s="88">
        <v>20</v>
      </c>
      <c r="M63" s="78">
        <v>20</v>
      </c>
      <c r="N63" s="283">
        <v>0.68839285714285714</v>
      </c>
      <c r="O63" s="19">
        <v>0</v>
      </c>
      <c r="P63" s="19">
        <v>0</v>
      </c>
      <c r="Q63" s="287">
        <v>31.160714285714285</v>
      </c>
      <c r="R63" s="88">
        <v>25</v>
      </c>
      <c r="S63" s="78">
        <v>20</v>
      </c>
      <c r="T63" s="283">
        <v>0.69110000000000005</v>
      </c>
      <c r="U63" s="19">
        <v>0</v>
      </c>
      <c r="V63" s="19">
        <v>0</v>
      </c>
      <c r="W63" s="287">
        <v>30.889999999999993</v>
      </c>
      <c r="X63" s="88">
        <v>24</v>
      </c>
      <c r="Y63" s="78">
        <v>19</v>
      </c>
      <c r="Z63" s="23"/>
      <c r="AA63" s="14"/>
      <c r="AB63" s="14"/>
      <c r="AC63" s="11"/>
      <c r="AD63" s="89"/>
      <c r="AE63" s="78"/>
      <c r="AF63" s="15">
        <v>78.13</v>
      </c>
      <c r="AG63" s="3">
        <v>0</v>
      </c>
      <c r="AH63" s="3">
        <v>0</v>
      </c>
      <c r="AI63" s="11">
        <v>0</v>
      </c>
      <c r="AJ63" s="88">
        <v>20</v>
      </c>
      <c r="AK63" s="98">
        <v>20</v>
      </c>
      <c r="AL63" s="302" t="s">
        <v>491</v>
      </c>
      <c r="AM63" t="str">
        <f t="shared" si="7"/>
        <v>StellaCarmichaelRhesa Prince of PeaceSecondary &gt;960</v>
      </c>
    </row>
    <row r="64" spans="1:39">
      <c r="A64" s="3" t="s">
        <v>99</v>
      </c>
      <c r="B64" s="3" t="s">
        <v>41</v>
      </c>
      <c r="C64" s="202" t="s">
        <v>42</v>
      </c>
      <c r="D64" s="202" t="s">
        <v>100</v>
      </c>
      <c r="E64" s="218">
        <v>7</v>
      </c>
      <c r="F64" s="94">
        <f t="shared" si="6"/>
        <v>16</v>
      </c>
      <c r="G64" s="141"/>
      <c r="H64" s="19">
        <v>69.290000000000006</v>
      </c>
      <c r="I64" s="3">
        <v>0</v>
      </c>
      <c r="J64" s="3">
        <v>1.2</v>
      </c>
      <c r="K64" s="11">
        <f t="shared" si="8"/>
        <v>1.2</v>
      </c>
      <c r="L64" s="88">
        <v>16</v>
      </c>
      <c r="M64" s="78">
        <v>16</v>
      </c>
      <c r="N64" s="283">
        <v>0</v>
      </c>
      <c r="O64" s="19">
        <v>0</v>
      </c>
      <c r="P64" s="19">
        <v>0</v>
      </c>
      <c r="Q64" s="287">
        <v>0</v>
      </c>
      <c r="R64" s="88">
        <v>0</v>
      </c>
      <c r="S64" s="98"/>
      <c r="T64" s="283">
        <v>0</v>
      </c>
      <c r="U64" s="19">
        <v>0</v>
      </c>
      <c r="V64" s="19">
        <v>0</v>
      </c>
      <c r="W64" s="287">
        <v>0</v>
      </c>
      <c r="X64" s="88">
        <v>0</v>
      </c>
      <c r="Y64" s="98"/>
      <c r="Z64" s="15"/>
      <c r="AA64" s="3"/>
      <c r="AB64" s="3"/>
      <c r="AC64" s="11"/>
      <c r="AD64" s="88"/>
      <c r="AE64" s="78"/>
      <c r="AF64" s="15"/>
      <c r="AG64" s="3"/>
      <c r="AH64" s="3"/>
      <c r="AI64" s="11"/>
      <c r="AJ64" s="88"/>
      <c r="AK64" s="98"/>
      <c r="AL64" s="302" t="s">
        <v>491</v>
      </c>
      <c r="AM64" t="str">
        <f t="shared" si="7"/>
        <v>StellaCarmichaelWynara First RomanceSecondary &gt;960</v>
      </c>
    </row>
    <row r="65" spans="1:39">
      <c r="A65" s="11" t="s">
        <v>143</v>
      </c>
      <c r="B65" s="3" t="s">
        <v>245</v>
      </c>
      <c r="C65" s="202" t="s">
        <v>63</v>
      </c>
      <c r="D65" s="202" t="s">
        <v>246</v>
      </c>
      <c r="E65" s="205">
        <v>12</v>
      </c>
      <c r="F65" s="94">
        <f t="shared" si="6"/>
        <v>0</v>
      </c>
      <c r="G65" s="165"/>
      <c r="H65" s="19"/>
      <c r="I65" s="3"/>
      <c r="J65" s="3"/>
      <c r="K65" s="11">
        <f t="shared" si="8"/>
        <v>0</v>
      </c>
      <c r="L65" s="88"/>
      <c r="M65" s="78"/>
      <c r="N65" s="283">
        <v>0</v>
      </c>
      <c r="O65" s="19">
        <v>0</v>
      </c>
      <c r="P65" s="19">
        <v>0</v>
      </c>
      <c r="Q65" s="287">
        <v>0</v>
      </c>
      <c r="R65" s="88">
        <v>0</v>
      </c>
      <c r="S65" s="98"/>
      <c r="T65" s="283">
        <v>0</v>
      </c>
      <c r="U65" s="19">
        <v>0</v>
      </c>
      <c r="V65" s="19">
        <v>0</v>
      </c>
      <c r="W65" s="287">
        <v>0</v>
      </c>
      <c r="X65" s="88">
        <v>0</v>
      </c>
      <c r="Y65" s="98"/>
      <c r="Z65" s="15"/>
      <c r="AA65" s="3"/>
      <c r="AB65" s="3"/>
      <c r="AC65" s="11"/>
      <c r="AD65" s="88"/>
      <c r="AE65" s="78"/>
      <c r="AF65" s="15"/>
      <c r="AG65" s="3"/>
      <c r="AH65" s="3"/>
      <c r="AI65" s="11"/>
      <c r="AJ65" s="88"/>
      <c r="AK65" s="98"/>
      <c r="AL65" s="302" t="s">
        <v>491</v>
      </c>
      <c r="AM65" t="str">
        <f t="shared" si="7"/>
        <v>SophieGardinerSt Elmos FireSecondary &gt;960</v>
      </c>
    </row>
    <row r="66" spans="1:39">
      <c r="A66" s="3" t="s">
        <v>95</v>
      </c>
      <c r="B66" s="3" t="s">
        <v>96</v>
      </c>
      <c r="C66" s="202" t="s">
        <v>97</v>
      </c>
      <c r="D66" s="202" t="s">
        <v>503</v>
      </c>
      <c r="E66" s="216">
        <v>7</v>
      </c>
      <c r="F66" s="94">
        <f t="shared" si="6"/>
        <v>10</v>
      </c>
      <c r="G66" s="213"/>
      <c r="H66" s="19">
        <v>63.57</v>
      </c>
      <c r="I66" s="3">
        <v>0</v>
      </c>
      <c r="J66" s="3">
        <v>0</v>
      </c>
      <c r="K66" s="11">
        <f t="shared" si="8"/>
        <v>0</v>
      </c>
      <c r="L66" s="88">
        <v>10</v>
      </c>
      <c r="M66" s="78">
        <v>10</v>
      </c>
      <c r="N66" s="283" t="s">
        <v>495</v>
      </c>
      <c r="O66" s="19" t="s">
        <v>495</v>
      </c>
      <c r="P66" s="19" t="s">
        <v>495</v>
      </c>
      <c r="Q66" s="287" t="s">
        <v>493</v>
      </c>
      <c r="R66" s="88">
        <v>0</v>
      </c>
      <c r="S66" s="98"/>
      <c r="T66" s="283">
        <v>0.55715000000000003</v>
      </c>
      <c r="U66" s="19">
        <v>0</v>
      </c>
      <c r="V66" s="19">
        <v>0</v>
      </c>
      <c r="W66" s="287">
        <v>44.284999999999997</v>
      </c>
      <c r="X66" s="88"/>
      <c r="Y66" s="78">
        <v>15</v>
      </c>
      <c r="Z66" s="15"/>
      <c r="AA66" s="3"/>
      <c r="AB66" s="3"/>
      <c r="AC66" s="11"/>
      <c r="AD66" s="88"/>
      <c r="AE66" s="78"/>
      <c r="AF66" s="138"/>
      <c r="AG66" s="127"/>
      <c r="AH66" s="127"/>
      <c r="AI66" s="128"/>
      <c r="AJ66" s="126"/>
      <c r="AK66" s="381"/>
      <c r="AL66" s="302" t="s">
        <v>491</v>
      </c>
      <c r="AM66" t="str">
        <f t="shared" si="7"/>
        <v>StarlaMurphySHANLINBURN CONTENDERSecondary &gt;960</v>
      </c>
    </row>
    <row r="67" spans="1:39">
      <c r="A67" s="3" t="s">
        <v>201</v>
      </c>
      <c r="B67" t="s">
        <v>202</v>
      </c>
      <c r="C67" s="202" t="s">
        <v>203</v>
      </c>
      <c r="D67" s="202" t="s">
        <v>204</v>
      </c>
      <c r="E67" s="171"/>
      <c r="F67" s="94">
        <f t="shared" si="6"/>
        <v>61</v>
      </c>
      <c r="G67" s="213">
        <f>Y67+S67</f>
        <v>36</v>
      </c>
      <c r="H67" s="19">
        <v>68.040000000000006</v>
      </c>
      <c r="I67" s="3">
        <v>0</v>
      </c>
      <c r="J67" s="3">
        <v>0.8</v>
      </c>
      <c r="K67" s="11">
        <f t="shared" si="8"/>
        <v>0.8</v>
      </c>
      <c r="L67" s="88">
        <v>15</v>
      </c>
      <c r="M67" s="78">
        <v>15</v>
      </c>
      <c r="N67" s="283">
        <v>0.66428571428571426</v>
      </c>
      <c r="O67" s="19">
        <v>0</v>
      </c>
      <c r="P67" s="19">
        <v>0</v>
      </c>
      <c r="Q67" s="287">
        <v>33.571428571428577</v>
      </c>
      <c r="R67" s="88">
        <v>23</v>
      </c>
      <c r="S67" s="78">
        <v>18</v>
      </c>
      <c r="T67" s="283">
        <v>0.65985000000000005</v>
      </c>
      <c r="U67" s="19">
        <v>0</v>
      </c>
      <c r="V67" s="19">
        <v>0</v>
      </c>
      <c r="W67" s="287">
        <v>34.014999999999993</v>
      </c>
      <c r="X67" s="88">
        <v>23</v>
      </c>
      <c r="Y67" s="78">
        <v>18</v>
      </c>
      <c r="Z67" s="15"/>
      <c r="AA67" s="3"/>
      <c r="AB67" s="3"/>
      <c r="AC67" s="11"/>
      <c r="AD67" s="88"/>
      <c r="AE67" s="78"/>
      <c r="AF67" s="30"/>
      <c r="AG67" s="136"/>
      <c r="AH67" s="136"/>
      <c r="AI67" s="29"/>
      <c r="AJ67" s="104"/>
      <c r="AK67" s="382"/>
      <c r="AL67" s="302" t="s">
        <v>491</v>
      </c>
      <c r="AM67" t="str">
        <f t="shared" si="7"/>
        <v>MadisonCiavattaCorncrakeSecondary &gt;960</v>
      </c>
    </row>
    <row r="68" spans="1:39">
      <c r="A68" s="11" t="s">
        <v>197</v>
      </c>
      <c r="B68" s="3" t="s">
        <v>198</v>
      </c>
      <c r="C68" s="202" t="s">
        <v>199</v>
      </c>
      <c r="D68" s="202" t="s">
        <v>200</v>
      </c>
      <c r="E68" s="171"/>
      <c r="F68" s="94">
        <f t="shared" si="6"/>
        <v>9</v>
      </c>
      <c r="G68" s="141"/>
      <c r="H68" s="19">
        <v>63.39</v>
      </c>
      <c r="I68" s="3">
        <v>4</v>
      </c>
      <c r="J68" s="3">
        <v>0</v>
      </c>
      <c r="K68" s="11">
        <f t="shared" si="8"/>
        <v>4</v>
      </c>
      <c r="L68" s="88">
        <v>9</v>
      </c>
      <c r="M68" s="78">
        <v>9</v>
      </c>
      <c r="N68" s="283">
        <v>0</v>
      </c>
      <c r="O68" s="19">
        <v>0</v>
      </c>
      <c r="P68" s="19">
        <v>0</v>
      </c>
      <c r="Q68" s="287">
        <v>0</v>
      </c>
      <c r="R68" s="88">
        <v>0</v>
      </c>
      <c r="S68" s="98"/>
      <c r="T68" s="283">
        <v>0</v>
      </c>
      <c r="U68" s="19">
        <v>0</v>
      </c>
      <c r="V68" s="19">
        <v>0</v>
      </c>
      <c r="W68" s="287">
        <v>0</v>
      </c>
      <c r="X68" s="88">
        <v>0</v>
      </c>
      <c r="Y68" s="98"/>
      <c r="Z68" s="15"/>
      <c r="AA68" s="3"/>
      <c r="AB68" s="3"/>
      <c r="AC68" s="11"/>
      <c r="AD68" s="88"/>
      <c r="AE68" s="78"/>
      <c r="AF68" s="15"/>
      <c r="AG68" s="3"/>
      <c r="AH68" s="3"/>
      <c r="AI68" s="11"/>
      <c r="AJ68" s="88"/>
      <c r="AK68" s="98"/>
      <c r="AL68" s="302" t="s">
        <v>491</v>
      </c>
      <c r="AM68" t="str">
        <f t="shared" si="7"/>
        <v>KayleeMcewenCoco Equestrian SophieSecondary &gt;960</v>
      </c>
    </row>
    <row r="69" spans="1:39">
      <c r="A69" t="s">
        <v>273</v>
      </c>
      <c r="B69" s="3" t="s">
        <v>274</v>
      </c>
      <c r="C69" s="202" t="s">
        <v>321</v>
      </c>
      <c r="D69" s="202" t="s">
        <v>322</v>
      </c>
      <c r="E69" s="171"/>
      <c r="F69" s="94">
        <f>SUM(X69,L69,R69,AD69,AJ69)</f>
        <v>0</v>
      </c>
      <c r="G69" s="141"/>
      <c r="H69" s="19">
        <v>68.42</v>
      </c>
      <c r="I69" s="3"/>
      <c r="J69" s="236" t="s">
        <v>323</v>
      </c>
      <c r="K69" s="11"/>
      <c r="L69" s="234"/>
      <c r="M69" s="78" t="s">
        <v>31</v>
      </c>
      <c r="N69" s="283">
        <v>0</v>
      </c>
      <c r="O69" s="19">
        <v>0</v>
      </c>
      <c r="P69" s="19">
        <v>0</v>
      </c>
      <c r="Q69" s="287">
        <v>0</v>
      </c>
      <c r="R69" s="88">
        <v>0</v>
      </c>
      <c r="S69" s="98"/>
      <c r="T69" s="283">
        <v>0</v>
      </c>
      <c r="U69" s="19">
        <v>0</v>
      </c>
      <c r="V69" s="19">
        <v>0</v>
      </c>
      <c r="W69" s="287">
        <v>0</v>
      </c>
      <c r="X69" s="88">
        <v>0</v>
      </c>
      <c r="Y69" s="98"/>
      <c r="Z69" s="15"/>
      <c r="AA69" s="3"/>
      <c r="AB69" s="3"/>
      <c r="AC69" s="11"/>
      <c r="AD69" s="88"/>
      <c r="AE69" s="78"/>
      <c r="AF69" s="15"/>
      <c r="AG69" s="3"/>
      <c r="AH69" s="3"/>
      <c r="AI69" s="11"/>
      <c r="AJ69" s="88"/>
      <c r="AK69" s="98"/>
      <c r="AL69" s="302" t="s">
        <v>491</v>
      </c>
      <c r="AM69" t="str">
        <f t="shared" si="7"/>
        <v>Maggie-roseMallordThe Brumby Strikes Back Secondary &gt;960</v>
      </c>
    </row>
    <row r="70" spans="1:39">
      <c r="A70" s="3" t="s">
        <v>233</v>
      </c>
      <c r="B70" s="3" t="s">
        <v>191</v>
      </c>
      <c r="C70" s="219" t="s">
        <v>79</v>
      </c>
      <c r="D70" s="202" t="s">
        <v>234</v>
      </c>
      <c r="E70" s="216">
        <v>9</v>
      </c>
      <c r="F70" s="94">
        <f>SUM(X70,L70,R70,AD70,AJ70)</f>
        <v>0</v>
      </c>
      <c r="G70" s="141"/>
      <c r="H70" s="19"/>
      <c r="I70" s="3"/>
      <c r="J70" s="3"/>
      <c r="K70" s="11">
        <f t="shared" si="8"/>
        <v>0</v>
      </c>
      <c r="L70" s="88"/>
      <c r="M70" s="78"/>
      <c r="N70" s="283">
        <v>0</v>
      </c>
      <c r="O70" s="19">
        <v>0</v>
      </c>
      <c r="P70" s="19">
        <v>0</v>
      </c>
      <c r="Q70" s="287">
        <v>0</v>
      </c>
      <c r="R70" s="88">
        <v>0</v>
      </c>
      <c r="S70" s="98"/>
      <c r="T70" s="283">
        <v>0</v>
      </c>
      <c r="U70" s="19">
        <v>0</v>
      </c>
      <c r="V70" s="19">
        <v>0</v>
      </c>
      <c r="W70" s="287">
        <v>0</v>
      </c>
      <c r="X70" s="88">
        <v>0</v>
      </c>
      <c r="Y70" s="98"/>
      <c r="Z70" s="15"/>
      <c r="AA70" s="3"/>
      <c r="AB70" s="3"/>
      <c r="AC70" s="11"/>
      <c r="AD70" s="88"/>
      <c r="AE70" s="78"/>
      <c r="AF70" s="15"/>
      <c r="AG70" s="3"/>
      <c r="AH70" s="3"/>
      <c r="AI70" s="11"/>
      <c r="AJ70" s="88"/>
      <c r="AK70" s="98"/>
      <c r="AL70" s="302" t="s">
        <v>491</v>
      </c>
      <c r="AM70" t="str">
        <f t="shared" si="7"/>
        <v>JakePriorSP RiverSecondary &gt;960</v>
      </c>
    </row>
    <row r="71" spans="1:39">
      <c r="A71" s="3" t="s">
        <v>240</v>
      </c>
      <c r="B71" s="3" t="s">
        <v>241</v>
      </c>
      <c r="C71" s="202" t="s">
        <v>242</v>
      </c>
      <c r="D71" s="202" t="s">
        <v>272</v>
      </c>
      <c r="E71" s="172"/>
      <c r="F71" s="94">
        <f>SUM(X71,L71,R71,AD71,AJ71)</f>
        <v>6</v>
      </c>
      <c r="G71" s="141"/>
      <c r="H71" s="19">
        <v>60.71</v>
      </c>
      <c r="I71" s="14">
        <v>4</v>
      </c>
      <c r="J71" s="14">
        <v>0</v>
      </c>
      <c r="K71" s="11">
        <f t="shared" si="8"/>
        <v>4</v>
      </c>
      <c r="L71" s="89">
        <v>6</v>
      </c>
      <c r="M71" s="85">
        <v>6</v>
      </c>
      <c r="N71" s="283">
        <v>0</v>
      </c>
      <c r="O71" s="19">
        <v>0</v>
      </c>
      <c r="P71" s="19">
        <v>0</v>
      </c>
      <c r="Q71" s="287">
        <v>0</v>
      </c>
      <c r="R71" s="88">
        <v>0</v>
      </c>
      <c r="S71" s="106"/>
      <c r="T71" s="283">
        <v>0</v>
      </c>
      <c r="U71" s="19">
        <v>0</v>
      </c>
      <c r="V71" s="19">
        <v>0</v>
      </c>
      <c r="W71" s="287">
        <v>0</v>
      </c>
      <c r="X71" s="88">
        <v>0</v>
      </c>
      <c r="Y71" s="106"/>
      <c r="Z71" s="23"/>
      <c r="AA71" s="14"/>
      <c r="AB71" s="14"/>
      <c r="AC71" s="11"/>
      <c r="AD71" s="89"/>
      <c r="AE71" s="78"/>
      <c r="AF71" s="15"/>
      <c r="AG71" s="3"/>
      <c r="AH71" s="3"/>
      <c r="AI71" s="11"/>
      <c r="AJ71" s="88"/>
      <c r="AK71" s="98"/>
      <c r="AL71" s="302" t="s">
        <v>491</v>
      </c>
      <c r="AM71" t="str">
        <f t="shared" si="7"/>
        <v>LilyCollinsJaponicum HitSecondary &gt;960</v>
      </c>
    </row>
    <row r="72" spans="1:39">
      <c r="A72" s="3" t="s">
        <v>240</v>
      </c>
      <c r="B72" s="3" t="s">
        <v>241</v>
      </c>
      <c r="C72" s="202" t="s">
        <v>242</v>
      </c>
      <c r="D72" s="202" t="s">
        <v>243</v>
      </c>
      <c r="E72" s="172"/>
      <c r="F72" s="94">
        <f>SUM(X72,L72,R72,AD72,AJ72)</f>
        <v>17</v>
      </c>
      <c r="G72" s="141"/>
      <c r="H72" s="19">
        <v>68.209999999999994</v>
      </c>
      <c r="I72" s="14">
        <v>0</v>
      </c>
      <c r="J72" s="14">
        <v>0</v>
      </c>
      <c r="K72" s="11">
        <f t="shared" si="8"/>
        <v>0</v>
      </c>
      <c r="L72" s="89">
        <v>17</v>
      </c>
      <c r="M72" s="85">
        <v>17</v>
      </c>
      <c r="N72" s="283">
        <v>0</v>
      </c>
      <c r="O72" s="19">
        <v>0</v>
      </c>
      <c r="P72" s="19">
        <v>0</v>
      </c>
      <c r="Q72" s="287">
        <v>0</v>
      </c>
      <c r="R72" s="88">
        <v>0</v>
      </c>
      <c r="S72" s="106"/>
      <c r="T72" s="283">
        <v>0</v>
      </c>
      <c r="U72" s="19">
        <v>0</v>
      </c>
      <c r="V72" s="19">
        <v>0</v>
      </c>
      <c r="W72" s="287">
        <v>0</v>
      </c>
      <c r="X72" s="88">
        <v>0</v>
      </c>
      <c r="Y72" s="106"/>
      <c r="Z72" s="23"/>
      <c r="AA72" s="14"/>
      <c r="AB72" s="14"/>
      <c r="AC72" s="11"/>
      <c r="AD72" s="89"/>
      <c r="AE72" s="78"/>
      <c r="AF72" s="15"/>
      <c r="AG72" s="3"/>
      <c r="AH72" s="3"/>
      <c r="AI72" s="11"/>
      <c r="AJ72" s="88"/>
      <c r="AK72" s="98"/>
      <c r="AL72" s="302" t="s">
        <v>491</v>
      </c>
      <c r="AM72" t="str">
        <f t="shared" si="7"/>
        <v>LilyCollinsWYANN TASMANSecondary &gt;960</v>
      </c>
    </row>
    <row r="73" spans="1:39">
      <c r="A73" s="3" t="s">
        <v>276</v>
      </c>
      <c r="B73" s="3" t="s">
        <v>78</v>
      </c>
      <c r="C73" s="202" t="s">
        <v>79</v>
      </c>
      <c r="D73" s="202" t="s">
        <v>277</v>
      </c>
      <c r="E73" s="172"/>
      <c r="F73" s="94">
        <f t="shared" si="6"/>
        <v>11</v>
      </c>
      <c r="G73" s="141"/>
      <c r="H73" s="19">
        <v>68.040000000000006</v>
      </c>
      <c r="I73" s="14">
        <v>0</v>
      </c>
      <c r="J73" s="14">
        <v>4.4000000000000004</v>
      </c>
      <c r="K73" s="11">
        <f t="shared" si="8"/>
        <v>4.4000000000000004</v>
      </c>
      <c r="L73" s="89">
        <v>11</v>
      </c>
      <c r="M73" s="85">
        <v>11</v>
      </c>
      <c r="N73" s="283">
        <v>0</v>
      </c>
      <c r="O73" s="19">
        <v>0</v>
      </c>
      <c r="P73" s="19">
        <v>0</v>
      </c>
      <c r="Q73" s="287">
        <v>0</v>
      </c>
      <c r="R73" s="88">
        <v>0</v>
      </c>
      <c r="S73" s="106"/>
      <c r="T73" s="283">
        <v>0</v>
      </c>
      <c r="U73" s="19">
        <v>0</v>
      </c>
      <c r="V73" s="19">
        <v>0</v>
      </c>
      <c r="W73" s="287">
        <v>0</v>
      </c>
      <c r="X73" s="88">
        <v>0</v>
      </c>
      <c r="Y73" s="106"/>
      <c r="Z73" s="23"/>
      <c r="AA73" s="14"/>
      <c r="AB73" s="14"/>
      <c r="AC73" s="11"/>
      <c r="AD73" s="89"/>
      <c r="AE73" s="78"/>
      <c r="AF73" s="15"/>
      <c r="AG73" s="3"/>
      <c r="AH73" s="3"/>
      <c r="AI73" s="11"/>
      <c r="AJ73" s="88"/>
      <c r="AK73" s="98"/>
      <c r="AL73" s="302" t="s">
        <v>491</v>
      </c>
      <c r="AM73" t="str">
        <f t="shared" si="7"/>
        <v>SarahWottonESB Irish Illusion Secondary &gt;960</v>
      </c>
    </row>
    <row r="74" spans="1:39">
      <c r="A74" s="3" t="s">
        <v>77</v>
      </c>
      <c r="B74" s="3" t="s">
        <v>78</v>
      </c>
      <c r="C74" s="202" t="s">
        <v>79</v>
      </c>
      <c r="D74" s="202" t="s">
        <v>269</v>
      </c>
      <c r="E74" s="172"/>
      <c r="F74" s="94">
        <f t="shared" si="6"/>
        <v>18</v>
      </c>
      <c r="G74" s="165"/>
      <c r="H74" s="19">
        <v>68.39</v>
      </c>
      <c r="I74" s="3">
        <v>0</v>
      </c>
      <c r="J74" s="3">
        <v>0.4</v>
      </c>
      <c r="K74" s="11">
        <f t="shared" si="8"/>
        <v>0.4</v>
      </c>
      <c r="L74" s="88">
        <v>18</v>
      </c>
      <c r="M74" s="78">
        <v>18</v>
      </c>
      <c r="N74" s="283">
        <v>0</v>
      </c>
      <c r="O74" s="19">
        <v>0</v>
      </c>
      <c r="P74" s="19">
        <v>0</v>
      </c>
      <c r="Q74" s="287">
        <v>0</v>
      </c>
      <c r="R74" s="88">
        <v>0</v>
      </c>
      <c r="S74" s="78"/>
      <c r="T74" s="283">
        <v>0</v>
      </c>
      <c r="U74" s="19">
        <v>0</v>
      </c>
      <c r="V74" s="19">
        <v>0</v>
      </c>
      <c r="W74" s="287">
        <v>0</v>
      </c>
      <c r="X74" s="88">
        <v>0</v>
      </c>
      <c r="Y74" s="98"/>
      <c r="Z74" s="15"/>
      <c r="AA74" s="3"/>
      <c r="AB74" s="3"/>
      <c r="AC74" s="11"/>
      <c r="AD74" s="88"/>
      <c r="AE74" s="78"/>
      <c r="AF74" s="15"/>
      <c r="AG74" s="3"/>
      <c r="AH74" s="3"/>
      <c r="AI74" s="11"/>
      <c r="AJ74" s="88"/>
      <c r="AK74" s="98"/>
      <c r="AL74" s="302" t="s">
        <v>491</v>
      </c>
      <c r="AM74" t="str">
        <f t="shared" si="7"/>
        <v>HollyWottonGigglesSecondary &gt;960</v>
      </c>
    </row>
    <row r="75" spans="1:39">
      <c r="A75" s="3" t="s">
        <v>87</v>
      </c>
      <c r="B75" s="3" t="s">
        <v>88</v>
      </c>
      <c r="C75" s="202" t="s">
        <v>89</v>
      </c>
      <c r="D75" s="202" t="s">
        <v>90</v>
      </c>
      <c r="E75" s="172"/>
      <c r="F75" s="94">
        <f t="shared" si="6"/>
        <v>19</v>
      </c>
      <c r="G75" s="230"/>
      <c r="H75" s="31">
        <v>70.709999999999994</v>
      </c>
      <c r="I75" s="14">
        <v>0</v>
      </c>
      <c r="J75" s="14">
        <v>0</v>
      </c>
      <c r="K75" s="11">
        <f t="shared" si="8"/>
        <v>0</v>
      </c>
      <c r="L75" s="89">
        <v>19</v>
      </c>
      <c r="M75" s="85">
        <v>19</v>
      </c>
      <c r="N75" s="283">
        <v>0</v>
      </c>
      <c r="O75" s="19">
        <v>0</v>
      </c>
      <c r="P75" s="19">
        <v>0</v>
      </c>
      <c r="Q75" s="287">
        <v>0</v>
      </c>
      <c r="R75" s="88">
        <v>0</v>
      </c>
      <c r="S75" s="78"/>
      <c r="T75" s="283">
        <v>0</v>
      </c>
      <c r="U75" s="19">
        <v>0</v>
      </c>
      <c r="V75" s="19">
        <v>0</v>
      </c>
      <c r="W75" s="287">
        <v>0</v>
      </c>
      <c r="X75" s="88">
        <v>0</v>
      </c>
      <c r="Y75" s="106"/>
      <c r="Z75" s="23"/>
      <c r="AA75" s="14"/>
      <c r="AB75" s="14"/>
      <c r="AC75" s="34"/>
      <c r="AD75" s="89"/>
      <c r="AE75" s="85"/>
      <c r="AF75" s="23"/>
      <c r="AG75" s="14"/>
      <c r="AH75" s="14"/>
      <c r="AI75" s="34"/>
      <c r="AJ75" s="89"/>
      <c r="AK75" s="106"/>
      <c r="AL75" s="302" t="s">
        <v>491</v>
      </c>
      <c r="AM75" t="str">
        <f t="shared" si="7"/>
        <v>MadelynHannaRhesa ElishaSecondary &gt;960</v>
      </c>
    </row>
    <row r="76" spans="1:39">
      <c r="A76" s="3" t="s">
        <v>77</v>
      </c>
      <c r="B76" s="3" t="s">
        <v>78</v>
      </c>
      <c r="C76" s="202" t="s">
        <v>79</v>
      </c>
      <c r="D76" s="3" t="s">
        <v>80</v>
      </c>
      <c r="E76" s="172"/>
      <c r="F76" s="94">
        <f t="shared" si="6"/>
        <v>12</v>
      </c>
      <c r="G76" s="230"/>
      <c r="H76" s="31">
        <v>68.930000000000007</v>
      </c>
      <c r="I76" s="14">
        <v>0</v>
      </c>
      <c r="J76" s="14">
        <v>3.2</v>
      </c>
      <c r="K76" s="11">
        <f t="shared" ref="K76:K77" si="9">J76+I76+H76</f>
        <v>72.13000000000001</v>
      </c>
      <c r="L76" s="89">
        <v>12</v>
      </c>
      <c r="M76" s="85">
        <v>12</v>
      </c>
      <c r="N76" s="283">
        <v>0</v>
      </c>
      <c r="O76" s="19">
        <v>0</v>
      </c>
      <c r="P76" s="19">
        <v>0</v>
      </c>
      <c r="Q76" s="287">
        <v>0</v>
      </c>
      <c r="R76" s="88">
        <v>0</v>
      </c>
      <c r="S76" s="78"/>
      <c r="T76" s="283">
        <v>0</v>
      </c>
      <c r="U76" s="19">
        <v>0</v>
      </c>
      <c r="V76" s="19">
        <v>0</v>
      </c>
      <c r="W76" s="287">
        <v>0</v>
      </c>
      <c r="X76" s="88">
        <v>0</v>
      </c>
      <c r="Y76" s="106"/>
      <c r="Z76" s="23"/>
      <c r="AA76" s="14"/>
      <c r="AB76" s="14"/>
      <c r="AC76" s="34"/>
      <c r="AD76" s="89"/>
      <c r="AE76" s="85"/>
      <c r="AF76" s="23"/>
      <c r="AG76" s="14"/>
      <c r="AH76" s="14"/>
      <c r="AI76" s="34"/>
      <c r="AJ76" s="89"/>
      <c r="AK76" s="106"/>
      <c r="AL76" s="302" t="s">
        <v>491</v>
      </c>
      <c r="AM76" t="str">
        <f t="shared" si="7"/>
        <v>HollyWottonWURLYANA BuckshotSecondary &gt;960</v>
      </c>
    </row>
    <row r="77" spans="1:39" ht="16.5" thickBot="1">
      <c r="A77" s="202" t="s">
        <v>247</v>
      </c>
      <c r="B77" s="202" t="s">
        <v>248</v>
      </c>
      <c r="C77" s="202" t="s">
        <v>199</v>
      </c>
      <c r="D77" s="202" t="s">
        <v>249</v>
      </c>
      <c r="E77" s="171"/>
      <c r="F77" s="94">
        <f t="shared" si="6"/>
        <v>80</v>
      </c>
      <c r="G77" s="213">
        <f>Y77+S77</f>
        <v>39</v>
      </c>
      <c r="H77" s="19">
        <v>65.540000000000006</v>
      </c>
      <c r="I77" s="3">
        <v>0</v>
      </c>
      <c r="J77" s="3">
        <v>0</v>
      </c>
      <c r="K77" s="11">
        <f t="shared" si="9"/>
        <v>65.540000000000006</v>
      </c>
      <c r="L77" s="334">
        <v>13</v>
      </c>
      <c r="M77" s="335">
        <v>13</v>
      </c>
      <c r="N77" s="283">
        <v>0.68482142857142858</v>
      </c>
      <c r="O77" s="19">
        <v>0</v>
      </c>
      <c r="P77" s="19">
        <v>0</v>
      </c>
      <c r="Q77" s="287">
        <v>31.517857142857142</v>
      </c>
      <c r="R77" s="88">
        <v>24</v>
      </c>
      <c r="S77" s="78">
        <v>19</v>
      </c>
      <c r="T77" s="283">
        <v>0.69734999999999991</v>
      </c>
      <c r="U77" s="19">
        <v>0</v>
      </c>
      <c r="V77" s="19">
        <v>0</v>
      </c>
      <c r="W77" s="287">
        <v>30.265000000000008</v>
      </c>
      <c r="X77" s="88">
        <v>25</v>
      </c>
      <c r="Y77" s="78">
        <v>20</v>
      </c>
      <c r="Z77" s="20"/>
      <c r="AA77" s="17"/>
      <c r="AB77" s="17"/>
      <c r="AC77" s="63"/>
      <c r="AD77" s="157"/>
      <c r="AE77" s="379"/>
      <c r="AF77" s="3">
        <v>70.63</v>
      </c>
      <c r="AG77" s="3">
        <v>0</v>
      </c>
      <c r="AH77" s="3">
        <v>0</v>
      </c>
      <c r="AI77" s="11">
        <v>0</v>
      </c>
      <c r="AJ77" s="88">
        <v>18</v>
      </c>
      <c r="AK77" s="98">
        <v>18</v>
      </c>
      <c r="AL77" s="302" t="s">
        <v>491</v>
      </c>
      <c r="AM77" t="str">
        <f t="shared" si="7"/>
        <v>Sophie OprayCherrywood Park BonanzaSecondary &gt;960</v>
      </c>
    </row>
    <row r="78" spans="1:39">
      <c r="A78" s="3" t="s">
        <v>472</v>
      </c>
      <c r="B78" s="3" t="s">
        <v>473</v>
      </c>
      <c r="C78" s="202" t="s">
        <v>474</v>
      </c>
      <c r="D78" s="202" t="s">
        <v>475</v>
      </c>
      <c r="E78" s="7"/>
      <c r="F78" s="94">
        <f t="shared" si="6"/>
        <v>0</v>
      </c>
      <c r="G78" s="141"/>
      <c r="H78" s="19"/>
      <c r="I78" s="3"/>
      <c r="J78" s="3"/>
      <c r="K78" s="11">
        <f>J78+I78+H78</f>
        <v>0</v>
      </c>
      <c r="L78" s="334"/>
      <c r="M78" s="335"/>
      <c r="N78" s="283">
        <v>0</v>
      </c>
      <c r="O78" s="19">
        <v>0</v>
      </c>
      <c r="P78" s="19">
        <v>0</v>
      </c>
      <c r="Q78" s="287">
        <v>0</v>
      </c>
      <c r="R78" s="88">
        <v>0</v>
      </c>
      <c r="S78" s="78"/>
      <c r="T78" s="283">
        <v>0</v>
      </c>
      <c r="U78" s="19">
        <v>0</v>
      </c>
      <c r="V78" s="19">
        <v>0</v>
      </c>
      <c r="W78" s="287">
        <v>0</v>
      </c>
      <c r="X78" s="88">
        <v>0</v>
      </c>
      <c r="Y78" s="98"/>
      <c r="Z78" s="15"/>
      <c r="AA78" s="3"/>
      <c r="AB78" s="3"/>
      <c r="AC78" s="11"/>
      <c r="AD78" s="88"/>
      <c r="AE78" s="380"/>
      <c r="AF78" s="3"/>
      <c r="AG78" s="3"/>
      <c r="AH78" s="3"/>
      <c r="AI78" s="11"/>
      <c r="AJ78" s="88"/>
      <c r="AK78" s="98"/>
      <c r="AL78" s="302" t="s">
        <v>491</v>
      </c>
      <c r="AM78" t="str">
        <f t="shared" si="7"/>
        <v>MiaOzolinsSierra Farm SerendipitySecondary &gt;960</v>
      </c>
    </row>
    <row r="79" spans="1:39">
      <c r="A79" s="3" t="s">
        <v>306</v>
      </c>
      <c r="B79" s="3" t="s">
        <v>353</v>
      </c>
      <c r="C79" s="202" t="s">
        <v>63</v>
      </c>
      <c r="D79" s="202" t="s">
        <v>482</v>
      </c>
      <c r="E79" s="7"/>
      <c r="F79" s="94">
        <f>SUM(X79,L79,R79,AD79,AJ79)</f>
        <v>38</v>
      </c>
      <c r="G79" s="141">
        <f>SUM(Y79,AK79)</f>
        <v>33</v>
      </c>
      <c r="H79" s="19"/>
      <c r="I79" s="3"/>
      <c r="J79" s="3"/>
      <c r="K79" s="11">
        <f>J79+I79+H79</f>
        <v>0</v>
      </c>
      <c r="L79" s="334"/>
      <c r="M79" s="335"/>
      <c r="N79" s="283">
        <v>0.62232142857142858</v>
      </c>
      <c r="O79" s="19">
        <v>0</v>
      </c>
      <c r="P79" s="19">
        <v>10.8</v>
      </c>
      <c r="Q79" s="287">
        <v>48.567857142857136</v>
      </c>
      <c r="R79" s="88">
        <v>0</v>
      </c>
      <c r="S79" s="78"/>
      <c r="T79" s="283">
        <v>0.62229999999999996</v>
      </c>
      <c r="U79" s="19">
        <v>0</v>
      </c>
      <c r="V79" s="19">
        <v>0.8</v>
      </c>
      <c r="W79" s="287">
        <v>38.57</v>
      </c>
      <c r="X79" s="88">
        <v>21</v>
      </c>
      <c r="Y79" s="78">
        <v>16</v>
      </c>
      <c r="Z79" s="15"/>
      <c r="AA79" s="3"/>
      <c r="AB79" s="3"/>
      <c r="AC79" s="11"/>
      <c r="AD79" s="88"/>
      <c r="AE79" s="78"/>
      <c r="AF79" s="15">
        <v>62.81</v>
      </c>
      <c r="AG79" s="3">
        <v>0</v>
      </c>
      <c r="AH79" s="3">
        <v>0</v>
      </c>
      <c r="AI79" s="11">
        <v>0</v>
      </c>
      <c r="AJ79" s="88">
        <v>17</v>
      </c>
      <c r="AK79" s="98">
        <v>17</v>
      </c>
      <c r="AL79" s="302" t="s">
        <v>491</v>
      </c>
      <c r="AM79" t="str">
        <f t="shared" ref="AM79" si="10">A79&amp;B79&amp;D79&amp;AL79&amp;$AL$53</f>
        <v>CharlotteLeonowKENLOCK SUPER SALUTESecondary &gt;960</v>
      </c>
    </row>
    <row r="80" spans="1:39" ht="16.5" thickBot="1">
      <c r="A80" s="202"/>
      <c r="B80" s="202"/>
      <c r="C80" s="202"/>
      <c r="D80" s="202"/>
      <c r="E80" s="7"/>
      <c r="F80" s="331">
        <f>SUM(X80,L80,R80,AD80,AJ80)</f>
        <v>0</v>
      </c>
      <c r="G80" s="211"/>
      <c r="H80" s="19"/>
      <c r="I80" s="3"/>
      <c r="J80" s="3"/>
      <c r="K80" s="11">
        <f>J80+I80+H80</f>
        <v>0</v>
      </c>
      <c r="L80" s="336"/>
      <c r="M80" s="337"/>
      <c r="N80" s="283"/>
      <c r="O80" s="19"/>
      <c r="P80" s="19"/>
      <c r="Q80" s="287"/>
      <c r="R80" s="90"/>
      <c r="S80" s="86"/>
      <c r="T80" s="19"/>
      <c r="U80" s="3"/>
      <c r="V80" s="3"/>
      <c r="W80" s="11"/>
      <c r="X80" s="90"/>
      <c r="Y80" s="99"/>
      <c r="Z80" s="15"/>
      <c r="AA80" s="3"/>
      <c r="AB80" s="3"/>
      <c r="AC80" s="11"/>
      <c r="AD80" s="88"/>
      <c r="AE80" s="78"/>
      <c r="AF80" s="15"/>
      <c r="AG80" s="3"/>
      <c r="AH80" s="3"/>
      <c r="AI80" s="11"/>
      <c r="AJ80" s="90"/>
      <c r="AK80" s="99"/>
    </row>
    <row r="81" spans="1:40">
      <c r="A81" s="231"/>
      <c r="B81" s="231"/>
      <c r="C81" s="231"/>
      <c r="D81" s="231"/>
      <c r="Q81"/>
    </row>
    <row r="82" spans="1:40" ht="16.5" thickBot="1"/>
    <row r="83" spans="1:40" ht="24" thickBot="1">
      <c r="H83" s="418" t="s">
        <v>290</v>
      </c>
      <c r="I83" s="441"/>
      <c r="J83" s="441"/>
      <c r="K83" s="441"/>
      <c r="L83" s="441"/>
      <c r="M83" s="58"/>
      <c r="N83" s="442" t="s">
        <v>291</v>
      </c>
      <c r="O83" s="442"/>
      <c r="P83" s="442"/>
      <c r="Q83" s="442"/>
      <c r="R83" s="442"/>
      <c r="S83" s="60"/>
      <c r="T83" s="390" t="s">
        <v>292</v>
      </c>
      <c r="U83" s="391"/>
      <c r="V83" s="391"/>
      <c r="W83" s="391"/>
      <c r="X83" s="391"/>
      <c r="Y83" s="199"/>
      <c r="Z83" s="427" t="s">
        <v>293</v>
      </c>
      <c r="AA83" s="443"/>
      <c r="AB83" s="443"/>
      <c r="AC83" s="443"/>
      <c r="AD83" s="443"/>
      <c r="AE83" s="198"/>
      <c r="AF83" s="402" t="s">
        <v>294</v>
      </c>
      <c r="AG83" s="442"/>
      <c r="AH83" s="442"/>
      <c r="AI83" s="442"/>
      <c r="AJ83" s="442"/>
      <c r="AK83" s="60"/>
    </row>
    <row r="84" spans="1:40" s="43" customFormat="1" ht="63">
      <c r="A84" s="416" t="s">
        <v>324</v>
      </c>
      <c r="B84" s="409"/>
      <c r="C84" s="409"/>
      <c r="D84" s="409"/>
      <c r="E84" s="409"/>
      <c r="F84" s="117" t="s">
        <v>9</v>
      </c>
      <c r="G84" s="51" t="s">
        <v>10</v>
      </c>
      <c r="H84" s="46" t="s">
        <v>296</v>
      </c>
      <c r="I84" s="39" t="s">
        <v>11</v>
      </c>
      <c r="J84" s="40" t="s">
        <v>12</v>
      </c>
      <c r="K84" s="64" t="s">
        <v>297</v>
      </c>
      <c r="L84" s="97" t="s">
        <v>15</v>
      </c>
      <c r="M84" s="51" t="s">
        <v>298</v>
      </c>
      <c r="N84" s="282" t="s">
        <v>296</v>
      </c>
      <c r="O84" s="248" t="s">
        <v>11</v>
      </c>
      <c r="P84" s="248" t="s">
        <v>12</v>
      </c>
      <c r="Q84" s="286" t="s">
        <v>297</v>
      </c>
      <c r="R84" s="97" t="s">
        <v>15</v>
      </c>
      <c r="S84" s="51" t="s">
        <v>298</v>
      </c>
      <c r="T84" s="282" t="s">
        <v>296</v>
      </c>
      <c r="U84" s="248" t="s">
        <v>11</v>
      </c>
      <c r="V84" s="248" t="s">
        <v>12</v>
      </c>
      <c r="W84" s="281" t="s">
        <v>297</v>
      </c>
      <c r="X84" s="97" t="s">
        <v>15</v>
      </c>
      <c r="Y84" s="51" t="s">
        <v>298</v>
      </c>
      <c r="Z84" s="59" t="s">
        <v>296</v>
      </c>
      <c r="AA84" s="55" t="s">
        <v>11</v>
      </c>
      <c r="AB84" s="61" t="s">
        <v>12</v>
      </c>
      <c r="AC84" s="62" t="s">
        <v>297</v>
      </c>
      <c r="AD84" s="97" t="s">
        <v>15</v>
      </c>
      <c r="AE84" s="51" t="s">
        <v>298</v>
      </c>
      <c r="AF84" s="54" t="s">
        <v>296</v>
      </c>
      <c r="AG84" s="55" t="s">
        <v>11</v>
      </c>
      <c r="AH84" s="61" t="s">
        <v>12</v>
      </c>
      <c r="AI84" s="62" t="s">
        <v>297</v>
      </c>
      <c r="AJ84" s="332" t="s">
        <v>15</v>
      </c>
      <c r="AK84" s="51" t="s">
        <v>298</v>
      </c>
      <c r="AL84" s="43">
        <v>80</v>
      </c>
    </row>
    <row r="85" spans="1:40">
      <c r="A85" s="1" t="s">
        <v>22</v>
      </c>
      <c r="B85" s="1" t="s">
        <v>23</v>
      </c>
      <c r="C85" s="4" t="s">
        <v>24</v>
      </c>
      <c r="D85" s="1" t="s">
        <v>25</v>
      </c>
      <c r="E85" s="170" t="s">
        <v>26</v>
      </c>
      <c r="F85" s="93"/>
      <c r="G85" s="95"/>
      <c r="H85" s="19"/>
      <c r="I85" s="3"/>
      <c r="J85" s="3"/>
      <c r="K85" s="11"/>
      <c r="L85" s="88"/>
      <c r="M85" s="78"/>
      <c r="N85" s="19"/>
      <c r="O85" s="3"/>
      <c r="P85" s="3"/>
      <c r="Q85" s="273"/>
      <c r="R85" s="88"/>
      <c r="S85" s="78"/>
      <c r="T85" s="19"/>
      <c r="U85" s="3"/>
      <c r="V85" s="3"/>
      <c r="W85" s="11"/>
      <c r="X85" s="88"/>
      <c r="Y85" s="78"/>
      <c r="Z85" s="19"/>
      <c r="AA85" s="3"/>
      <c r="AB85" s="3"/>
      <c r="AC85" s="11"/>
      <c r="AD85" s="88"/>
      <c r="AE85" s="78"/>
      <c r="AF85" s="15"/>
      <c r="AG85" s="3"/>
      <c r="AH85" s="3"/>
      <c r="AI85" s="11"/>
      <c r="AJ85" s="88"/>
      <c r="AK85" s="78"/>
      <c r="AL85" s="279" t="s">
        <v>491</v>
      </c>
      <c r="AM85" t="str">
        <f>A85&amp;B85&amp;D85&amp;AL85&amp;$AL$84</f>
        <v>Rider First NameRider Last NameName of Pony/HorseSecondary &gt;980</v>
      </c>
      <c r="AN85" s="43"/>
    </row>
    <row r="86" spans="1:40">
      <c r="A86" s="3" t="s">
        <v>61</v>
      </c>
      <c r="B86" s="3" t="s">
        <v>62</v>
      </c>
      <c r="C86" s="202" t="s">
        <v>63</v>
      </c>
      <c r="D86" s="202" t="s">
        <v>502</v>
      </c>
      <c r="E86" s="217">
        <v>7</v>
      </c>
      <c r="F86" s="94">
        <f t="shared" ref="F86:F110" si="11">SUM(X86,L86,R86,AD86,AJ86)</f>
        <v>58</v>
      </c>
      <c r="G86" s="213">
        <f>Y86+M86</f>
        <v>33</v>
      </c>
      <c r="H86" s="19">
        <v>73.39</v>
      </c>
      <c r="I86" s="3">
        <v>4</v>
      </c>
      <c r="J86" s="3">
        <v>0</v>
      </c>
      <c r="K86" s="11">
        <v>30.6</v>
      </c>
      <c r="L86" s="88">
        <v>18</v>
      </c>
      <c r="M86" s="78">
        <v>18</v>
      </c>
      <c r="N86" s="283">
        <v>0.6830357142857143</v>
      </c>
      <c r="O86" s="19">
        <v>4</v>
      </c>
      <c r="P86" s="19">
        <v>0</v>
      </c>
      <c r="Q86" s="287">
        <v>35.696428571428569</v>
      </c>
      <c r="R86" s="88">
        <v>20</v>
      </c>
      <c r="S86" s="78">
        <v>15</v>
      </c>
      <c r="T86" s="283">
        <v>0.67764999999999997</v>
      </c>
      <c r="U86" s="19">
        <v>4</v>
      </c>
      <c r="V86" s="19">
        <v>0</v>
      </c>
      <c r="W86" s="287">
        <v>36.234999999999999</v>
      </c>
      <c r="X86" s="88">
        <v>20</v>
      </c>
      <c r="Y86" s="78">
        <v>15</v>
      </c>
      <c r="Z86" s="19"/>
      <c r="AA86" s="3"/>
      <c r="AB86" s="3"/>
      <c r="AC86" s="11"/>
      <c r="AD86" s="88"/>
      <c r="AE86" s="78"/>
      <c r="AF86" s="15"/>
      <c r="AG86" s="3"/>
      <c r="AH86" s="3"/>
      <c r="AI86" s="11"/>
      <c r="AJ86" s="88"/>
      <c r="AK86" s="78"/>
      <c r="AL86" s="279" t="s">
        <v>491</v>
      </c>
      <c r="AM86" t="str">
        <f t="shared" ref="AM86:AM113" si="12">A86&amp;B86&amp;D86&amp;AL86&amp;$AL$84</f>
        <v>AbigailGrahamWYANN GUNS AND ROSESSecondary &gt;980</v>
      </c>
      <c r="AN86" s="43"/>
    </row>
    <row r="87" spans="1:40">
      <c r="A87" s="3" t="s">
        <v>65</v>
      </c>
      <c r="B87" s="3" t="s">
        <v>66</v>
      </c>
      <c r="C87" s="3" t="s">
        <v>67</v>
      </c>
      <c r="D87" s="3" t="s">
        <v>68</v>
      </c>
      <c r="E87" s="216">
        <v>9</v>
      </c>
      <c r="F87" s="94">
        <f t="shared" si="11"/>
        <v>9</v>
      </c>
      <c r="G87" s="213"/>
      <c r="H87" s="19">
        <v>68.75</v>
      </c>
      <c r="I87" s="3">
        <v>4</v>
      </c>
      <c r="J87" s="3">
        <v>1.6</v>
      </c>
      <c r="K87" s="11">
        <v>36.9</v>
      </c>
      <c r="L87" s="88">
        <v>9</v>
      </c>
      <c r="M87" s="78">
        <v>9</v>
      </c>
      <c r="N87" s="283">
        <v>0</v>
      </c>
      <c r="O87" s="19">
        <v>0</v>
      </c>
      <c r="P87" s="19">
        <v>0</v>
      </c>
      <c r="Q87" s="287">
        <v>0</v>
      </c>
      <c r="R87" s="88">
        <v>0</v>
      </c>
      <c r="S87" s="78"/>
      <c r="T87" s="283">
        <v>0</v>
      </c>
      <c r="U87" s="19">
        <v>0</v>
      </c>
      <c r="V87" s="19">
        <v>0</v>
      </c>
      <c r="W87" s="287">
        <v>0</v>
      </c>
      <c r="X87" s="88">
        <v>0</v>
      </c>
      <c r="Y87" s="78"/>
      <c r="Z87" s="19"/>
      <c r="AA87" s="3"/>
      <c r="AB87" s="2"/>
      <c r="AC87" s="5"/>
      <c r="AD87" s="88"/>
      <c r="AE87" s="78"/>
      <c r="AF87" s="15"/>
      <c r="AG87" s="3"/>
      <c r="AH87" s="2"/>
      <c r="AI87" s="5"/>
      <c r="AJ87" s="88"/>
      <c r="AK87" s="78"/>
      <c r="AL87" s="279" t="s">
        <v>491</v>
      </c>
      <c r="AM87" t="str">
        <f t="shared" si="12"/>
        <v>AnnabelleKnowlesSandon Grove Bobby RoyalSecondary &gt;980</v>
      </c>
      <c r="AN87" s="43"/>
    </row>
    <row r="88" spans="1:40">
      <c r="A88" s="3" t="s">
        <v>129</v>
      </c>
      <c r="B88" s="3" t="s">
        <v>130</v>
      </c>
      <c r="C88" s="202" t="s">
        <v>63</v>
      </c>
      <c r="D88" s="202" t="s">
        <v>131</v>
      </c>
      <c r="E88" s="205">
        <v>11</v>
      </c>
      <c r="F88" s="94">
        <f t="shared" si="11"/>
        <v>59</v>
      </c>
      <c r="G88" s="213">
        <f>Y88+S88</f>
        <v>35</v>
      </c>
      <c r="H88" s="19">
        <v>66.790000000000006</v>
      </c>
      <c r="I88" s="3">
        <v>0</v>
      </c>
      <c r="J88" s="3">
        <v>0</v>
      </c>
      <c r="K88" s="11">
        <v>33.200000000000003</v>
      </c>
      <c r="L88" s="88">
        <v>14</v>
      </c>
      <c r="M88" s="78">
        <v>14</v>
      </c>
      <c r="N88" s="283">
        <v>0.66428571428571426</v>
      </c>
      <c r="O88" s="19">
        <v>0</v>
      </c>
      <c r="P88" s="19">
        <v>0</v>
      </c>
      <c r="Q88" s="287">
        <v>33.571428571428577</v>
      </c>
      <c r="R88" s="88">
        <v>21</v>
      </c>
      <c r="S88" s="78">
        <v>16</v>
      </c>
      <c r="T88" s="283">
        <v>0.67605000000000004</v>
      </c>
      <c r="U88" s="19">
        <v>0</v>
      </c>
      <c r="V88" s="19">
        <v>0</v>
      </c>
      <c r="W88" s="287">
        <v>32.394999999999996</v>
      </c>
      <c r="X88" s="88">
        <v>24</v>
      </c>
      <c r="Y88" s="78">
        <v>19</v>
      </c>
      <c r="Z88" s="19"/>
      <c r="AA88" s="3"/>
      <c r="AB88" s="3"/>
      <c r="AC88" s="11"/>
      <c r="AD88" s="88"/>
      <c r="AE88" s="78"/>
      <c r="AF88" s="15"/>
      <c r="AG88" s="3"/>
      <c r="AH88" s="3"/>
      <c r="AI88" s="11"/>
      <c r="AJ88" s="88"/>
      <c r="AK88" s="78"/>
      <c r="AL88" s="279" t="s">
        <v>491</v>
      </c>
      <c r="AM88" t="str">
        <f t="shared" si="12"/>
        <v>SabelaMooreForrest GumppSecondary &gt;980</v>
      </c>
      <c r="AN88" s="43"/>
    </row>
    <row r="89" spans="1:40">
      <c r="A89" s="202" t="s">
        <v>132</v>
      </c>
      <c r="B89" s="202" t="s">
        <v>133</v>
      </c>
      <c r="C89" t="s">
        <v>134</v>
      </c>
      <c r="D89" s="202" t="s">
        <v>135</v>
      </c>
      <c r="E89" s="216">
        <v>12</v>
      </c>
      <c r="F89" s="94">
        <f t="shared" si="11"/>
        <v>0</v>
      </c>
      <c r="G89" s="141"/>
      <c r="H89" s="19"/>
      <c r="I89" s="3"/>
      <c r="J89" s="3"/>
      <c r="K89" s="11"/>
      <c r="L89" s="88"/>
      <c r="M89" s="78"/>
      <c r="N89" s="283">
        <v>0</v>
      </c>
      <c r="O89" s="19">
        <v>0</v>
      </c>
      <c r="P89" s="19">
        <v>0</v>
      </c>
      <c r="Q89" s="287">
        <v>0</v>
      </c>
      <c r="R89" s="88">
        <v>0</v>
      </c>
      <c r="S89" s="78"/>
      <c r="T89" s="283">
        <v>0</v>
      </c>
      <c r="U89" s="19">
        <v>0</v>
      </c>
      <c r="V89" s="19">
        <v>0</v>
      </c>
      <c r="W89" s="287">
        <v>0</v>
      </c>
      <c r="X89" s="88">
        <v>0</v>
      </c>
      <c r="Y89" s="78"/>
      <c r="Z89" s="19"/>
      <c r="AA89" s="3"/>
      <c r="AB89" s="3"/>
      <c r="AC89" s="11"/>
      <c r="AD89" s="88"/>
      <c r="AE89" s="78"/>
      <c r="AF89" s="15"/>
      <c r="AG89" s="3"/>
      <c r="AH89" s="3"/>
      <c r="AI89" s="11"/>
      <c r="AJ89" s="88"/>
      <c r="AK89" s="78"/>
      <c r="AL89" s="279" t="s">
        <v>491</v>
      </c>
      <c r="AM89" t="str">
        <f t="shared" si="12"/>
        <v>ShaeTweddleQuick TimeSecondary &gt;980</v>
      </c>
      <c r="AN89" s="43"/>
    </row>
    <row r="90" spans="1:40">
      <c r="A90" s="221" t="s">
        <v>260</v>
      </c>
      <c r="B90" s="221" t="s">
        <v>261</v>
      </c>
      <c r="C90" s="225" t="s">
        <v>262</v>
      </c>
      <c r="D90" s="225" t="s">
        <v>263</v>
      </c>
      <c r="E90" s="217">
        <v>11</v>
      </c>
      <c r="F90" s="94">
        <f t="shared" si="11"/>
        <v>8</v>
      </c>
      <c r="G90" s="141"/>
      <c r="H90" s="19">
        <v>60.89</v>
      </c>
      <c r="I90" s="3">
        <v>0</v>
      </c>
      <c r="J90" s="3">
        <v>0</v>
      </c>
      <c r="K90" s="11">
        <v>39.1</v>
      </c>
      <c r="L90" s="88">
        <v>8</v>
      </c>
      <c r="M90" s="78">
        <v>8</v>
      </c>
      <c r="N90" s="283">
        <v>0</v>
      </c>
      <c r="O90" s="19">
        <v>0</v>
      </c>
      <c r="P90" s="19">
        <v>0</v>
      </c>
      <c r="Q90" s="287">
        <v>0</v>
      </c>
      <c r="R90" s="88">
        <v>0</v>
      </c>
      <c r="S90" s="78"/>
      <c r="T90" s="283">
        <v>0</v>
      </c>
      <c r="U90" s="19">
        <v>0</v>
      </c>
      <c r="V90" s="19">
        <v>0</v>
      </c>
      <c r="W90" s="287">
        <v>0</v>
      </c>
      <c r="X90" s="88">
        <v>0</v>
      </c>
      <c r="Y90" s="78"/>
      <c r="Z90" s="19"/>
      <c r="AA90" s="3"/>
      <c r="AB90" s="3"/>
      <c r="AC90" s="11"/>
      <c r="AD90" s="88"/>
      <c r="AE90" s="78"/>
      <c r="AF90" s="15"/>
      <c r="AG90" s="3"/>
      <c r="AH90" s="3"/>
      <c r="AI90" s="11"/>
      <c r="AJ90" s="88"/>
      <c r="AK90" s="78"/>
      <c r="AL90" s="279" t="s">
        <v>491</v>
      </c>
      <c r="AM90" t="str">
        <f t="shared" si="12"/>
        <v>AureliaPyneCarrots JazzSecondary &gt;980</v>
      </c>
      <c r="AN90" s="43"/>
    </row>
    <row r="91" spans="1:40">
      <c r="A91" s="3" t="s">
        <v>109</v>
      </c>
      <c r="B91" s="3" t="s">
        <v>110</v>
      </c>
      <c r="C91" s="202" t="s">
        <v>111</v>
      </c>
      <c r="D91" s="202" t="s">
        <v>112</v>
      </c>
      <c r="E91" s="205">
        <v>10</v>
      </c>
      <c r="F91" s="94">
        <f t="shared" si="11"/>
        <v>89</v>
      </c>
      <c r="G91" s="213">
        <f>Y91+M91</f>
        <v>40</v>
      </c>
      <c r="H91" s="19">
        <v>70.89</v>
      </c>
      <c r="I91" s="3">
        <v>0</v>
      </c>
      <c r="J91" s="3">
        <v>0</v>
      </c>
      <c r="K91" s="11">
        <v>29.1</v>
      </c>
      <c r="L91" s="88">
        <v>20</v>
      </c>
      <c r="M91" s="78">
        <v>20</v>
      </c>
      <c r="N91" s="283">
        <v>0.70625000000000004</v>
      </c>
      <c r="O91" s="19">
        <v>0</v>
      </c>
      <c r="P91" s="19">
        <v>0</v>
      </c>
      <c r="Q91" s="287">
        <v>29.374999999999996</v>
      </c>
      <c r="R91" s="88">
        <v>24</v>
      </c>
      <c r="S91" s="78">
        <v>19</v>
      </c>
      <c r="T91" s="283">
        <v>0.74645000000000006</v>
      </c>
      <c r="U91" s="19">
        <v>0</v>
      </c>
      <c r="V91" s="19">
        <v>0</v>
      </c>
      <c r="W91" s="287">
        <v>25.354999999999993</v>
      </c>
      <c r="X91" s="88">
        <v>25</v>
      </c>
      <c r="Y91" s="78">
        <v>20</v>
      </c>
      <c r="Z91" s="19"/>
      <c r="AA91" s="3"/>
      <c r="AB91" s="3"/>
      <c r="AC91" s="11"/>
      <c r="AD91" s="88"/>
      <c r="AE91" s="78"/>
      <c r="AF91" s="15">
        <v>76.88</v>
      </c>
      <c r="AG91" s="3">
        <v>0</v>
      </c>
      <c r="AH91" s="3">
        <v>0</v>
      </c>
      <c r="AI91" s="11">
        <v>0</v>
      </c>
      <c r="AJ91" s="88">
        <v>20</v>
      </c>
      <c r="AK91" s="78">
        <v>20</v>
      </c>
      <c r="AL91" s="279" t="s">
        <v>491</v>
      </c>
      <c r="AM91" t="str">
        <f t="shared" si="12"/>
        <v>ElizaSpiersHillswood Beatrice Secondary &gt;980</v>
      </c>
      <c r="AN91" s="43"/>
    </row>
    <row r="92" spans="1:40">
      <c r="A92" s="3" t="s">
        <v>74</v>
      </c>
      <c r="B92" s="3" t="s">
        <v>75</v>
      </c>
      <c r="C92" s="202" t="s">
        <v>63</v>
      </c>
      <c r="D92" s="202" t="s">
        <v>76</v>
      </c>
      <c r="E92" s="217">
        <v>8</v>
      </c>
      <c r="F92" s="94">
        <f t="shared" si="11"/>
        <v>0</v>
      </c>
      <c r="G92" s="213"/>
      <c r="H92" s="19"/>
      <c r="I92" s="3"/>
      <c r="J92" s="3"/>
      <c r="K92" s="11"/>
      <c r="L92" s="88"/>
      <c r="M92" s="78"/>
      <c r="N92" s="283">
        <v>0</v>
      </c>
      <c r="O92" s="19">
        <v>0</v>
      </c>
      <c r="P92" s="19">
        <v>0</v>
      </c>
      <c r="Q92" s="287">
        <v>0</v>
      </c>
      <c r="R92" s="88">
        <v>0</v>
      </c>
      <c r="S92" s="78"/>
      <c r="T92" s="283">
        <v>0</v>
      </c>
      <c r="U92" s="19">
        <v>0</v>
      </c>
      <c r="V92" s="19">
        <v>0</v>
      </c>
      <c r="W92" s="287">
        <v>0</v>
      </c>
      <c r="X92" s="88">
        <v>0</v>
      </c>
      <c r="Y92" s="78"/>
      <c r="Z92" s="19"/>
      <c r="AA92" s="3"/>
      <c r="AB92" s="3"/>
      <c r="AC92" s="11"/>
      <c r="AD92" s="88"/>
      <c r="AE92" s="78"/>
      <c r="AF92" s="15"/>
      <c r="AG92" s="3"/>
      <c r="AH92" s="3"/>
      <c r="AI92" s="11"/>
      <c r="AJ92" s="88"/>
      <c r="AK92" s="78"/>
      <c r="AL92" s="279" t="s">
        <v>491</v>
      </c>
      <c r="AM92" t="str">
        <f t="shared" si="12"/>
        <v>GeorginaGleesonCurralong Park FrankelSecondary &gt;980</v>
      </c>
      <c r="AN92" s="43"/>
    </row>
    <row r="93" spans="1:40">
      <c r="A93" s="3" t="s">
        <v>264</v>
      </c>
      <c r="B93" s="3" t="s">
        <v>265</v>
      </c>
      <c r="C93" s="202" t="s">
        <v>266</v>
      </c>
      <c r="D93" s="202" t="s">
        <v>267</v>
      </c>
      <c r="E93" s="216">
        <v>12</v>
      </c>
      <c r="F93" s="94">
        <f t="shared" si="11"/>
        <v>41</v>
      </c>
      <c r="G93" s="141">
        <f>SUM(Y93,AK93)</f>
        <v>36</v>
      </c>
      <c r="H93" s="19"/>
      <c r="I93" s="3"/>
      <c r="J93" s="3"/>
      <c r="K93" s="11"/>
      <c r="L93" s="88"/>
      <c r="M93" s="78"/>
      <c r="N93" s="283" t="s">
        <v>495</v>
      </c>
      <c r="O93" s="19" t="s">
        <v>495</v>
      </c>
      <c r="P93" s="19" t="s">
        <v>495</v>
      </c>
      <c r="Q93" s="287" t="s">
        <v>493</v>
      </c>
      <c r="R93" s="88">
        <v>0</v>
      </c>
      <c r="S93" s="78"/>
      <c r="T93" s="283">
        <v>0.66694999999999993</v>
      </c>
      <c r="U93" s="19">
        <v>0</v>
      </c>
      <c r="V93" s="19">
        <v>0</v>
      </c>
      <c r="W93" s="287">
        <v>33.305000000000007</v>
      </c>
      <c r="X93" s="88">
        <v>23</v>
      </c>
      <c r="Y93" s="78">
        <v>18</v>
      </c>
      <c r="Z93" s="19"/>
      <c r="AA93" s="3"/>
      <c r="AB93" s="3"/>
      <c r="AC93" s="11"/>
      <c r="AD93" s="88"/>
      <c r="AE93" s="78"/>
      <c r="AF93" s="15">
        <v>67.19</v>
      </c>
      <c r="AG93" s="3">
        <v>0</v>
      </c>
      <c r="AH93" s="3">
        <v>0</v>
      </c>
      <c r="AI93" s="11">
        <v>0</v>
      </c>
      <c r="AJ93" s="88">
        <v>18</v>
      </c>
      <c r="AK93" s="78">
        <v>18</v>
      </c>
      <c r="AL93" s="279" t="s">
        <v>491</v>
      </c>
      <c r="AM93" t="str">
        <f t="shared" si="12"/>
        <v>CelesteKriznicBoronia FernandoSecondary &gt;980</v>
      </c>
      <c r="AN93" s="43"/>
    </row>
    <row r="94" spans="1:40">
      <c r="A94" s="3" t="s">
        <v>87</v>
      </c>
      <c r="B94" s="3" t="s">
        <v>88</v>
      </c>
      <c r="C94" s="202" t="s">
        <v>89</v>
      </c>
      <c r="D94" s="202" t="s">
        <v>90</v>
      </c>
      <c r="E94" s="217">
        <v>7</v>
      </c>
      <c r="F94" s="94">
        <f t="shared" si="11"/>
        <v>80</v>
      </c>
      <c r="G94" s="213">
        <f>Y94+M94</f>
        <v>36</v>
      </c>
      <c r="H94" s="19">
        <v>70.180000000000007</v>
      </c>
      <c r="I94" s="3">
        <v>0</v>
      </c>
      <c r="J94" s="3">
        <v>0</v>
      </c>
      <c r="K94" s="11">
        <v>29.8</v>
      </c>
      <c r="L94" s="88">
        <v>19</v>
      </c>
      <c r="M94" s="78">
        <v>19</v>
      </c>
      <c r="N94" s="283">
        <v>0.67767857142857146</v>
      </c>
      <c r="O94" s="19">
        <v>0</v>
      </c>
      <c r="P94" s="19">
        <v>0</v>
      </c>
      <c r="Q94" s="287">
        <v>32.232142857142854</v>
      </c>
      <c r="R94" s="88">
        <v>22</v>
      </c>
      <c r="S94" s="78">
        <v>17</v>
      </c>
      <c r="T94" s="283">
        <v>0.66335</v>
      </c>
      <c r="U94" s="19">
        <v>0</v>
      </c>
      <c r="V94" s="19">
        <v>0</v>
      </c>
      <c r="W94" s="287">
        <v>33.664999999999999</v>
      </c>
      <c r="X94" s="88">
        <v>22</v>
      </c>
      <c r="Y94" s="78">
        <v>17</v>
      </c>
      <c r="Z94" s="19"/>
      <c r="AA94" s="3"/>
      <c r="AB94" s="3"/>
      <c r="AC94" s="11"/>
      <c r="AD94" s="88"/>
      <c r="AE94" s="78"/>
      <c r="AF94" s="15">
        <v>62.19</v>
      </c>
      <c r="AG94" s="3">
        <v>0</v>
      </c>
      <c r="AH94" s="3">
        <v>0</v>
      </c>
      <c r="AI94" s="11">
        <v>0</v>
      </c>
      <c r="AJ94" s="88">
        <v>17</v>
      </c>
      <c r="AK94" s="78">
        <v>17</v>
      </c>
      <c r="AL94" s="279" t="s">
        <v>491</v>
      </c>
      <c r="AM94" t="str">
        <f t="shared" si="12"/>
        <v>MadelynHannaRhesa ElishaSecondary &gt;980</v>
      </c>
      <c r="AN94" s="43"/>
    </row>
    <row r="95" spans="1:40">
      <c r="A95" s="3" t="s">
        <v>99</v>
      </c>
      <c r="B95" s="3" t="s">
        <v>41</v>
      </c>
      <c r="C95" s="202" t="s">
        <v>42</v>
      </c>
      <c r="D95" s="202" t="s">
        <v>212</v>
      </c>
      <c r="E95" s="218">
        <v>7</v>
      </c>
      <c r="F95" s="94">
        <f t="shared" si="11"/>
        <v>0</v>
      </c>
      <c r="G95" s="141"/>
      <c r="H95" s="19"/>
      <c r="I95" s="3"/>
      <c r="J95" s="3"/>
      <c r="K95" s="11"/>
      <c r="L95" s="88"/>
      <c r="M95" s="78"/>
      <c r="N95" s="283">
        <v>0</v>
      </c>
      <c r="O95" s="19">
        <v>0</v>
      </c>
      <c r="P95" s="19">
        <v>0</v>
      </c>
      <c r="Q95" s="287">
        <v>0</v>
      </c>
      <c r="R95" s="88">
        <v>0</v>
      </c>
      <c r="S95" s="78"/>
      <c r="T95" s="283">
        <v>0</v>
      </c>
      <c r="U95" s="19">
        <v>0</v>
      </c>
      <c r="V95" s="19">
        <v>0</v>
      </c>
      <c r="W95" s="287">
        <v>0</v>
      </c>
      <c r="X95" s="88">
        <v>0</v>
      </c>
      <c r="Y95" s="78"/>
      <c r="Z95" s="19"/>
      <c r="AA95" s="3"/>
      <c r="AB95" s="3"/>
      <c r="AC95" s="11"/>
      <c r="AD95" s="88"/>
      <c r="AE95" s="78"/>
      <c r="AF95" s="15"/>
      <c r="AG95" s="3"/>
      <c r="AH95" s="3"/>
      <c r="AI95" s="11"/>
      <c r="AJ95" s="88"/>
      <c r="AK95" s="78"/>
      <c r="AL95" s="279" t="s">
        <v>491</v>
      </c>
      <c r="AM95" t="str">
        <f t="shared" si="12"/>
        <v>StellaCarmichaelRhesa Prince of PeaceSecondary &gt;980</v>
      </c>
      <c r="AN95" s="43"/>
    </row>
    <row r="96" spans="1:40">
      <c r="A96" s="3" t="s">
        <v>99</v>
      </c>
      <c r="B96" s="3" t="s">
        <v>41</v>
      </c>
      <c r="C96" s="202" t="s">
        <v>42</v>
      </c>
      <c r="D96" s="202" t="s">
        <v>100</v>
      </c>
      <c r="E96" s="218">
        <v>7</v>
      </c>
      <c r="F96" s="94">
        <f t="shared" si="11"/>
        <v>78</v>
      </c>
      <c r="G96" s="213">
        <f>AK96+S96</f>
        <v>37</v>
      </c>
      <c r="H96" s="19">
        <v>72.5</v>
      </c>
      <c r="I96" s="3">
        <v>4</v>
      </c>
      <c r="J96" s="3">
        <v>1.2</v>
      </c>
      <c r="K96" s="11">
        <v>32.700000000000003</v>
      </c>
      <c r="L96" s="88">
        <v>15</v>
      </c>
      <c r="M96" s="78">
        <v>15</v>
      </c>
      <c r="N96" s="283">
        <v>0.69464285714285712</v>
      </c>
      <c r="O96" s="19">
        <v>0</v>
      </c>
      <c r="P96" s="19">
        <v>0</v>
      </c>
      <c r="Q96" s="287">
        <v>30.535714285714288</v>
      </c>
      <c r="R96" s="88">
        <v>23</v>
      </c>
      <c r="S96" s="78">
        <v>18</v>
      </c>
      <c r="T96" s="283">
        <v>0.69284999999999997</v>
      </c>
      <c r="U96" s="19">
        <v>4</v>
      </c>
      <c r="V96" s="19">
        <v>0</v>
      </c>
      <c r="W96" s="287">
        <v>34.715000000000003</v>
      </c>
      <c r="X96" s="88">
        <v>21</v>
      </c>
      <c r="Y96" s="78">
        <v>16</v>
      </c>
      <c r="Z96" s="19"/>
      <c r="AA96" s="3"/>
      <c r="AB96" s="3"/>
      <c r="AC96" s="11"/>
      <c r="AD96" s="88"/>
      <c r="AE96" s="78"/>
      <c r="AF96" s="15">
        <v>73.13</v>
      </c>
      <c r="AG96" s="3">
        <v>0</v>
      </c>
      <c r="AH96" s="3">
        <v>0</v>
      </c>
      <c r="AI96" s="11">
        <v>0</v>
      </c>
      <c r="AJ96" s="88">
        <v>19</v>
      </c>
      <c r="AK96" s="78">
        <v>19</v>
      </c>
      <c r="AL96" s="279" t="s">
        <v>491</v>
      </c>
      <c r="AM96" t="str">
        <f t="shared" si="12"/>
        <v>StellaCarmichaelWynara First RomanceSecondary &gt;980</v>
      </c>
      <c r="AN96" s="43"/>
    </row>
    <row r="97" spans="1:40">
      <c r="A97" s="3" t="s">
        <v>273</v>
      </c>
      <c r="B97" s="3" t="s">
        <v>274</v>
      </c>
      <c r="C97" s="202" t="s">
        <v>42</v>
      </c>
      <c r="D97" s="202" t="s">
        <v>275</v>
      </c>
      <c r="E97" s="216">
        <v>9</v>
      </c>
      <c r="F97" s="94">
        <f t="shared" si="11"/>
        <v>18</v>
      </c>
      <c r="G97" s="213"/>
      <c r="H97" s="233">
        <v>59.11</v>
      </c>
      <c r="I97" s="236">
        <v>8</v>
      </c>
      <c r="J97" s="236">
        <v>7.2</v>
      </c>
      <c r="K97" s="11"/>
      <c r="L97" s="234"/>
      <c r="M97" s="78" t="s">
        <v>31</v>
      </c>
      <c r="N97" s="283">
        <v>0.6294642857142857</v>
      </c>
      <c r="O97" s="19">
        <v>8</v>
      </c>
      <c r="P97" s="19">
        <v>0</v>
      </c>
      <c r="Q97" s="287">
        <v>45.053571428571431</v>
      </c>
      <c r="R97" s="88">
        <v>18</v>
      </c>
      <c r="S97" s="78">
        <v>18</v>
      </c>
      <c r="T97" s="283">
        <v>0.66339999999999999</v>
      </c>
      <c r="U97" s="19" t="s">
        <v>494</v>
      </c>
      <c r="V97" s="19">
        <v>0</v>
      </c>
      <c r="W97" s="287" t="s">
        <v>493</v>
      </c>
      <c r="X97" s="88">
        <v>0</v>
      </c>
      <c r="Y97" s="78" t="s">
        <v>31</v>
      </c>
      <c r="Z97" s="19"/>
      <c r="AA97" s="3"/>
      <c r="AB97" s="3"/>
      <c r="AC97" s="11"/>
      <c r="AD97" s="88"/>
      <c r="AE97" s="78"/>
      <c r="AF97" s="138"/>
      <c r="AG97" s="127"/>
      <c r="AH97" s="127"/>
      <c r="AI97" s="128"/>
      <c r="AJ97" s="126"/>
      <c r="AK97" s="125"/>
      <c r="AL97" s="279" t="s">
        <v>491</v>
      </c>
      <c r="AM97" t="str">
        <f t="shared" si="12"/>
        <v>Maggie-roseMallordMaster BinksSecondary &gt;980</v>
      </c>
      <c r="AN97" s="43"/>
    </row>
    <row r="98" spans="1:40">
      <c r="A98" s="3" t="s">
        <v>143</v>
      </c>
      <c r="B98" t="s">
        <v>245</v>
      </c>
      <c r="C98" s="202" t="s">
        <v>63</v>
      </c>
      <c r="D98" s="202" t="s">
        <v>246</v>
      </c>
      <c r="E98" s="205">
        <v>12</v>
      </c>
      <c r="F98" s="94">
        <f t="shared" si="11"/>
        <v>0</v>
      </c>
      <c r="G98" s="141"/>
      <c r="H98" s="19"/>
      <c r="I98" s="3"/>
      <c r="J98" s="3"/>
      <c r="K98" s="11"/>
      <c r="L98" s="88"/>
      <c r="M98" s="78"/>
      <c r="N98" s="283">
        <v>0</v>
      </c>
      <c r="O98" s="19">
        <v>0</v>
      </c>
      <c r="P98" s="19">
        <v>0</v>
      </c>
      <c r="Q98" s="287">
        <v>0</v>
      </c>
      <c r="R98" s="88">
        <v>0</v>
      </c>
      <c r="S98" s="78"/>
      <c r="T98" s="283">
        <v>0</v>
      </c>
      <c r="U98" s="19">
        <v>0</v>
      </c>
      <c r="V98" s="19">
        <v>0</v>
      </c>
      <c r="W98" s="287">
        <v>0</v>
      </c>
      <c r="X98" s="88">
        <v>0</v>
      </c>
      <c r="Y98" s="78"/>
      <c r="Z98" s="19"/>
      <c r="AA98" s="3"/>
      <c r="AB98" s="3"/>
      <c r="AC98" s="11"/>
      <c r="AD98" s="88"/>
      <c r="AE98" s="78"/>
      <c r="AF98" s="30"/>
      <c r="AG98" s="136"/>
      <c r="AH98" s="136"/>
      <c r="AI98" s="29"/>
      <c r="AJ98" s="104"/>
      <c r="AK98" s="137"/>
      <c r="AL98" s="279" t="s">
        <v>491</v>
      </c>
      <c r="AM98" t="str">
        <f t="shared" si="12"/>
        <v>SophieGardinerSt Elmos FireSecondary &gt;980</v>
      </c>
    </row>
    <row r="99" spans="1:40">
      <c r="A99" t="s">
        <v>95</v>
      </c>
      <c r="B99" s="3" t="s">
        <v>96</v>
      </c>
      <c r="C99" s="205" t="s">
        <v>97</v>
      </c>
      <c r="D99" s="202" t="s">
        <v>98</v>
      </c>
      <c r="E99" s="216">
        <v>7</v>
      </c>
      <c r="F99" s="94">
        <f t="shared" si="11"/>
        <v>12</v>
      </c>
      <c r="G99" s="141"/>
      <c r="H99" s="19">
        <v>66.430000000000007</v>
      </c>
      <c r="I99" s="3">
        <v>0</v>
      </c>
      <c r="J99" s="3">
        <v>0</v>
      </c>
      <c r="K99" s="11">
        <v>33.6</v>
      </c>
      <c r="L99" s="88">
        <v>12</v>
      </c>
      <c r="M99" s="78">
        <v>12</v>
      </c>
      <c r="N99" s="283">
        <v>0</v>
      </c>
      <c r="O99" s="19">
        <v>0</v>
      </c>
      <c r="P99" s="19">
        <v>0</v>
      </c>
      <c r="Q99" s="287">
        <v>0</v>
      </c>
      <c r="R99" s="88">
        <v>0</v>
      </c>
      <c r="S99" s="78"/>
      <c r="T99" s="283">
        <v>0</v>
      </c>
      <c r="U99" s="19">
        <v>0</v>
      </c>
      <c r="V99" s="19">
        <v>0</v>
      </c>
      <c r="W99" s="287">
        <v>0</v>
      </c>
      <c r="X99" s="88">
        <v>0</v>
      </c>
      <c r="Y99" s="78"/>
      <c r="Z99" s="19"/>
      <c r="AA99" s="3"/>
      <c r="AB99" s="3"/>
      <c r="AC99" s="11"/>
      <c r="AD99" s="88"/>
      <c r="AE99" s="78"/>
      <c r="AF99" s="15"/>
      <c r="AG99" s="3"/>
      <c r="AH99" s="3"/>
      <c r="AI99" s="11"/>
      <c r="AJ99" s="88"/>
      <c r="AK99" s="78"/>
      <c r="AL99" s="279" t="s">
        <v>491</v>
      </c>
      <c r="AM99" t="str">
        <f t="shared" si="12"/>
        <v>StarlaMurphyShanlin Burn ContenderSecondary &gt;980</v>
      </c>
    </row>
    <row r="100" spans="1:40">
      <c r="A100" s="227" t="s">
        <v>36</v>
      </c>
      <c r="B100" s="221" t="s">
        <v>71</v>
      </c>
      <c r="C100" s="221" t="s">
        <v>72</v>
      </c>
      <c r="D100" s="228" t="s">
        <v>73</v>
      </c>
      <c r="E100" s="205">
        <v>8</v>
      </c>
      <c r="F100" s="94">
        <f t="shared" si="11"/>
        <v>32</v>
      </c>
      <c r="G100" s="213">
        <f>M100+S100</f>
        <v>27</v>
      </c>
      <c r="H100" s="19">
        <v>66.790000000000006</v>
      </c>
      <c r="I100" s="3">
        <v>0</v>
      </c>
      <c r="J100" s="3">
        <v>0</v>
      </c>
      <c r="K100" s="11">
        <v>33.200000000000003</v>
      </c>
      <c r="L100" s="88">
        <v>13</v>
      </c>
      <c r="M100" s="78">
        <v>13</v>
      </c>
      <c r="N100" s="283">
        <v>0.6116071428571429</v>
      </c>
      <c r="O100" s="19">
        <v>0</v>
      </c>
      <c r="P100" s="19">
        <v>0</v>
      </c>
      <c r="Q100" s="287">
        <v>38.839285714285708</v>
      </c>
      <c r="R100" s="88">
        <v>19</v>
      </c>
      <c r="S100" s="78">
        <v>14</v>
      </c>
      <c r="T100" s="283">
        <v>0.63929999999999998</v>
      </c>
      <c r="U100" s="19" t="s">
        <v>494</v>
      </c>
      <c r="V100" s="19">
        <v>0</v>
      </c>
      <c r="W100" s="287" t="s">
        <v>493</v>
      </c>
      <c r="X100" s="88">
        <v>0</v>
      </c>
      <c r="Y100" s="162" t="s">
        <v>31</v>
      </c>
      <c r="Z100" s="19"/>
      <c r="AA100" s="3"/>
      <c r="AB100" s="3"/>
      <c r="AC100" s="11"/>
      <c r="AD100" s="88"/>
      <c r="AE100" s="78"/>
      <c r="AF100" s="329">
        <v>57.5</v>
      </c>
      <c r="AG100" s="3">
        <v>0</v>
      </c>
      <c r="AH100" s="3">
        <v>0</v>
      </c>
      <c r="AI100" s="11">
        <v>0</v>
      </c>
      <c r="AJ100" s="88"/>
      <c r="AK100" s="78"/>
      <c r="AL100" s="279" t="s">
        <v>491</v>
      </c>
      <c r="AM100" t="str">
        <f t="shared" si="12"/>
        <v>EllieDigneyThere and back again Secondary &gt;980</v>
      </c>
    </row>
    <row r="101" spans="1:40">
      <c r="A101" s="222" t="s">
        <v>84</v>
      </c>
      <c r="B101" s="221" t="s">
        <v>49</v>
      </c>
      <c r="C101" s="221" t="s">
        <v>50</v>
      </c>
      <c r="D101" s="222" t="s">
        <v>85</v>
      </c>
      <c r="E101" s="11"/>
      <c r="F101" s="94">
        <f t="shared" si="11"/>
        <v>0</v>
      </c>
      <c r="G101" s="165"/>
      <c r="H101" s="19"/>
      <c r="I101" s="3"/>
      <c r="J101" s="3"/>
      <c r="K101" s="11"/>
      <c r="L101" s="88"/>
      <c r="M101" s="78"/>
      <c r="N101" s="283">
        <v>0</v>
      </c>
      <c r="O101" s="19">
        <v>0</v>
      </c>
      <c r="P101" s="19">
        <v>0</v>
      </c>
      <c r="Q101" s="287">
        <v>0</v>
      </c>
      <c r="R101" s="88">
        <v>0</v>
      </c>
      <c r="S101" s="78"/>
      <c r="T101" s="283">
        <v>0</v>
      </c>
      <c r="U101" s="19">
        <v>0</v>
      </c>
      <c r="V101" s="19">
        <v>0</v>
      </c>
      <c r="W101" s="287">
        <v>0</v>
      </c>
      <c r="X101" s="88">
        <v>0</v>
      </c>
      <c r="Y101" s="162"/>
      <c r="Z101" s="19"/>
      <c r="AA101" s="3"/>
      <c r="AB101" s="3"/>
      <c r="AC101" s="11"/>
      <c r="AD101" s="88"/>
      <c r="AE101" s="78"/>
      <c r="AF101" s="15"/>
      <c r="AG101" s="3"/>
      <c r="AH101" s="3"/>
      <c r="AI101" s="11"/>
      <c r="AJ101" s="88"/>
      <c r="AK101" s="78"/>
      <c r="AL101" s="279" t="s">
        <v>491</v>
      </c>
      <c r="AM101" t="str">
        <f t="shared" si="12"/>
        <v>MaddisonWissellKeira Park CavalierSecondary &gt;980</v>
      </c>
    </row>
    <row r="102" spans="1:40">
      <c r="A102" s="3" t="s">
        <v>121</v>
      </c>
      <c r="B102" t="s">
        <v>122</v>
      </c>
      <c r="C102" s="202" t="s">
        <v>111</v>
      </c>
      <c r="D102" s="202" t="s">
        <v>124</v>
      </c>
      <c r="E102" s="218"/>
      <c r="F102" s="94">
        <f t="shared" si="11"/>
        <v>10</v>
      </c>
      <c r="G102" s="141"/>
      <c r="H102" s="19">
        <v>63.75</v>
      </c>
      <c r="I102" s="3">
        <v>0</v>
      </c>
      <c r="J102" s="3">
        <v>0</v>
      </c>
      <c r="K102" s="11">
        <v>36.299999999999997</v>
      </c>
      <c r="L102" s="88">
        <v>10</v>
      </c>
      <c r="M102" s="78">
        <v>10</v>
      </c>
      <c r="N102" s="283">
        <v>0</v>
      </c>
      <c r="O102" s="19">
        <v>0</v>
      </c>
      <c r="P102" s="19">
        <v>0</v>
      </c>
      <c r="Q102" s="287">
        <v>0</v>
      </c>
      <c r="R102" s="88">
        <v>0</v>
      </c>
      <c r="S102" s="78"/>
      <c r="T102" s="283">
        <v>0</v>
      </c>
      <c r="U102" s="19">
        <v>0</v>
      </c>
      <c r="V102" s="19">
        <v>0</v>
      </c>
      <c r="W102" s="287">
        <v>0</v>
      </c>
      <c r="X102" s="88">
        <v>0</v>
      </c>
      <c r="Y102" s="78"/>
      <c r="Z102" s="19"/>
      <c r="AA102" s="3"/>
      <c r="AB102" s="3"/>
      <c r="AC102" s="11"/>
      <c r="AD102" s="88"/>
      <c r="AE102" s="78"/>
      <c r="AF102" s="15"/>
      <c r="AG102" s="3"/>
      <c r="AH102" s="3"/>
      <c r="AI102" s="11"/>
      <c r="AJ102" s="88"/>
      <c r="AK102" s="78"/>
      <c r="AL102" s="279" t="s">
        <v>491</v>
      </c>
      <c r="AM102" t="str">
        <f t="shared" si="12"/>
        <v>IndyBerdenMcCartney Park Sugar n SpiceSecondary &gt;980</v>
      </c>
    </row>
    <row r="103" spans="1:40">
      <c r="A103" s="3" t="s">
        <v>240</v>
      </c>
      <c r="B103" s="3" t="s">
        <v>241</v>
      </c>
      <c r="C103" s="202" t="s">
        <v>242</v>
      </c>
      <c r="D103" s="202" t="s">
        <v>272</v>
      </c>
      <c r="E103" s="5"/>
      <c r="F103" s="94">
        <f t="shared" si="11"/>
        <v>0</v>
      </c>
      <c r="G103" s="141"/>
      <c r="H103" s="19"/>
      <c r="I103" s="3"/>
      <c r="J103" s="3"/>
      <c r="K103" s="11"/>
      <c r="L103" s="88"/>
      <c r="M103" s="78"/>
      <c r="N103" s="283">
        <v>0</v>
      </c>
      <c r="O103" s="19">
        <v>0</v>
      </c>
      <c r="P103" s="19">
        <v>0</v>
      </c>
      <c r="Q103" s="287">
        <v>0</v>
      </c>
      <c r="R103" s="88">
        <v>0</v>
      </c>
      <c r="S103" s="78"/>
      <c r="T103" s="283">
        <v>0</v>
      </c>
      <c r="U103" s="19">
        <v>0</v>
      </c>
      <c r="V103" s="19">
        <v>0</v>
      </c>
      <c r="W103" s="287">
        <v>0</v>
      </c>
      <c r="X103" s="88">
        <v>0</v>
      </c>
      <c r="Y103" s="78"/>
      <c r="Z103" s="19"/>
      <c r="AA103" s="3"/>
      <c r="AB103" s="3"/>
      <c r="AC103" s="11"/>
      <c r="AD103" s="88"/>
      <c r="AE103" s="78"/>
      <c r="AF103" s="15"/>
      <c r="AG103" s="3"/>
      <c r="AH103" s="3"/>
      <c r="AI103" s="11"/>
      <c r="AJ103" s="88"/>
      <c r="AK103" s="78"/>
      <c r="AL103" s="279" t="s">
        <v>491</v>
      </c>
      <c r="AM103" t="str">
        <f t="shared" si="12"/>
        <v>LilyCollinsJaponicum HitSecondary &gt;980</v>
      </c>
    </row>
    <row r="104" spans="1:40">
      <c r="A104" s="3" t="s">
        <v>276</v>
      </c>
      <c r="B104" s="3" t="s">
        <v>78</v>
      </c>
      <c r="C104" s="202" t="s">
        <v>79</v>
      </c>
      <c r="D104" s="202" t="s">
        <v>277</v>
      </c>
      <c r="E104" s="171"/>
      <c r="F104" s="94">
        <f t="shared" si="11"/>
        <v>11</v>
      </c>
      <c r="G104" s="141"/>
      <c r="H104" s="19">
        <v>67.5</v>
      </c>
      <c r="I104" s="3">
        <v>0</v>
      </c>
      <c r="J104" s="3">
        <v>2.8</v>
      </c>
      <c r="K104" s="11">
        <v>35.299999999999997</v>
      </c>
      <c r="L104" s="88">
        <v>11</v>
      </c>
      <c r="M104" s="78">
        <v>11</v>
      </c>
      <c r="N104" s="283">
        <v>0</v>
      </c>
      <c r="O104" s="19">
        <v>0</v>
      </c>
      <c r="P104" s="19">
        <v>0</v>
      </c>
      <c r="Q104" s="287">
        <v>0</v>
      </c>
      <c r="R104" s="88">
        <v>0</v>
      </c>
      <c r="S104" s="78"/>
      <c r="T104" s="283">
        <v>0</v>
      </c>
      <c r="U104" s="19">
        <v>0</v>
      </c>
      <c r="V104" s="19">
        <v>0</v>
      </c>
      <c r="W104" s="287">
        <v>0</v>
      </c>
      <c r="X104" s="88">
        <v>0</v>
      </c>
      <c r="Y104" s="78"/>
      <c r="Z104" s="19"/>
      <c r="AA104" s="3"/>
      <c r="AB104" s="3"/>
      <c r="AC104" s="11"/>
      <c r="AD104" s="88"/>
      <c r="AE104" s="78"/>
      <c r="AF104" s="23"/>
      <c r="AG104" s="14"/>
      <c r="AH104" s="14"/>
      <c r="AI104" s="34"/>
      <c r="AJ104" s="89"/>
      <c r="AK104" s="85"/>
      <c r="AL104" s="279" t="s">
        <v>491</v>
      </c>
      <c r="AM104" t="str">
        <f t="shared" si="12"/>
        <v>SarahWottonESB Irish Illusion Secondary &gt;980</v>
      </c>
    </row>
    <row r="105" spans="1:40">
      <c r="A105" s="3" t="s">
        <v>77</v>
      </c>
      <c r="B105" s="3" t="s">
        <v>78</v>
      </c>
      <c r="C105" s="202" t="s">
        <v>79</v>
      </c>
      <c r="D105" s="202" t="s">
        <v>269</v>
      </c>
      <c r="E105" s="171"/>
      <c r="F105" s="94">
        <f t="shared" si="11"/>
        <v>0</v>
      </c>
      <c r="G105" s="141"/>
      <c r="H105" s="19"/>
      <c r="I105" s="3"/>
      <c r="J105" s="3"/>
      <c r="K105" s="11"/>
      <c r="L105" s="88"/>
      <c r="M105" s="78"/>
      <c r="N105" s="283">
        <v>0</v>
      </c>
      <c r="O105" s="19">
        <v>0</v>
      </c>
      <c r="P105" s="19">
        <v>0</v>
      </c>
      <c r="Q105" s="287">
        <v>0</v>
      </c>
      <c r="R105" s="88">
        <v>0</v>
      </c>
      <c r="S105" s="78"/>
      <c r="T105" s="283">
        <v>0</v>
      </c>
      <c r="U105" s="19">
        <v>0</v>
      </c>
      <c r="V105" s="19">
        <v>0</v>
      </c>
      <c r="W105" s="287">
        <v>0</v>
      </c>
      <c r="X105" s="88">
        <v>0</v>
      </c>
      <c r="Y105" s="162"/>
      <c r="Z105" s="19"/>
      <c r="AA105" s="3"/>
      <c r="AB105" s="3"/>
      <c r="AC105" s="11"/>
      <c r="AD105" s="88"/>
      <c r="AE105" s="78"/>
      <c r="AF105" s="138"/>
      <c r="AG105" s="127"/>
      <c r="AH105" s="127"/>
      <c r="AI105" s="128"/>
      <c r="AJ105" s="126"/>
      <c r="AK105" s="125"/>
      <c r="AL105" s="279" t="s">
        <v>491</v>
      </c>
      <c r="AM105" t="str">
        <f t="shared" si="12"/>
        <v>HollyWottonGigglesSecondary &gt;980</v>
      </c>
    </row>
    <row r="106" spans="1:40">
      <c r="A106" s="3" t="s">
        <v>77</v>
      </c>
      <c r="B106" s="3" t="s">
        <v>78</v>
      </c>
      <c r="C106" s="202" t="s">
        <v>79</v>
      </c>
      <c r="D106" s="3" t="s">
        <v>80</v>
      </c>
      <c r="E106" s="171"/>
      <c r="F106" s="94">
        <f t="shared" si="11"/>
        <v>16</v>
      </c>
      <c r="G106" s="141"/>
      <c r="H106" s="19">
        <v>69.11</v>
      </c>
      <c r="I106" s="3">
        <v>0</v>
      </c>
      <c r="J106" s="3">
        <v>1.2</v>
      </c>
      <c r="K106" s="11">
        <v>32.1</v>
      </c>
      <c r="L106" s="88">
        <v>16</v>
      </c>
      <c r="M106" s="78">
        <v>16</v>
      </c>
      <c r="N106" s="283">
        <v>0</v>
      </c>
      <c r="O106" s="19">
        <v>0</v>
      </c>
      <c r="P106" s="19">
        <v>0</v>
      </c>
      <c r="Q106" s="287">
        <v>0</v>
      </c>
      <c r="R106" s="88">
        <v>0</v>
      </c>
      <c r="S106" s="78"/>
      <c r="T106" s="283">
        <v>0</v>
      </c>
      <c r="U106" s="19">
        <v>0</v>
      </c>
      <c r="V106" s="19">
        <v>0</v>
      </c>
      <c r="W106" s="287">
        <v>0</v>
      </c>
      <c r="X106" s="88">
        <v>0</v>
      </c>
      <c r="Y106" s="78"/>
      <c r="Z106" s="19"/>
      <c r="AA106" s="3"/>
      <c r="AB106" s="3"/>
      <c r="AC106" s="11"/>
      <c r="AD106" s="89"/>
      <c r="AE106" s="85"/>
      <c r="AF106" s="30"/>
      <c r="AG106" s="136"/>
      <c r="AH106" s="136"/>
      <c r="AI106" s="29"/>
      <c r="AJ106" s="104"/>
      <c r="AK106" s="137"/>
      <c r="AL106" s="279" t="s">
        <v>491</v>
      </c>
      <c r="AM106" t="str">
        <f t="shared" si="12"/>
        <v>HollyWottonWURLYANA BuckshotSecondary &gt;980</v>
      </c>
    </row>
    <row r="107" spans="1:40">
      <c r="A107" s="3" t="s">
        <v>117</v>
      </c>
      <c r="B107" s="3" t="s">
        <v>118</v>
      </c>
      <c r="C107" s="202" t="s">
        <v>119</v>
      </c>
      <c r="D107" s="3" t="s">
        <v>120</v>
      </c>
      <c r="E107" s="171"/>
      <c r="F107" s="94">
        <f t="shared" si="11"/>
        <v>42</v>
      </c>
      <c r="G107" s="213">
        <f>M107+S107</f>
        <v>37</v>
      </c>
      <c r="H107" s="31">
        <v>71.430000000000007</v>
      </c>
      <c r="I107" s="14">
        <v>0</v>
      </c>
      <c r="J107" s="14">
        <v>2.8</v>
      </c>
      <c r="K107" s="34">
        <v>31.4</v>
      </c>
      <c r="L107" s="89">
        <v>17</v>
      </c>
      <c r="M107" s="85">
        <v>17</v>
      </c>
      <c r="N107" s="283">
        <v>0.72232142857142856</v>
      </c>
      <c r="O107" s="19">
        <v>0</v>
      </c>
      <c r="P107" s="19">
        <v>0</v>
      </c>
      <c r="Q107" s="287">
        <v>27.767857142857146</v>
      </c>
      <c r="R107" s="88">
        <v>25</v>
      </c>
      <c r="S107" s="78">
        <v>20</v>
      </c>
      <c r="T107" s="283" t="s">
        <v>505</v>
      </c>
      <c r="U107" s="19" t="s">
        <v>495</v>
      </c>
      <c r="V107" s="19" t="s">
        <v>495</v>
      </c>
      <c r="W107" s="287" t="s">
        <v>493</v>
      </c>
      <c r="X107" s="88">
        <v>0</v>
      </c>
      <c r="Y107" s="85" t="s">
        <v>31</v>
      </c>
      <c r="Z107" s="19"/>
      <c r="AA107" s="3"/>
      <c r="AB107" s="3"/>
      <c r="AC107" s="11"/>
      <c r="AD107" s="89"/>
      <c r="AE107" s="85"/>
      <c r="AF107" s="30"/>
      <c r="AG107" s="136"/>
      <c r="AH107" s="136"/>
      <c r="AI107" s="29"/>
      <c r="AJ107" s="104"/>
      <c r="AK107" s="137"/>
      <c r="AL107" s="279" t="s">
        <v>491</v>
      </c>
      <c r="AM107" t="str">
        <f t="shared" si="12"/>
        <v>HaileyArnoldWyoming LassSecondary &gt;980</v>
      </c>
    </row>
    <row r="108" spans="1:40">
      <c r="A108" s="3" t="s">
        <v>91</v>
      </c>
      <c r="B108" s="3" t="s">
        <v>92</v>
      </c>
      <c r="C108" s="202" t="s">
        <v>93</v>
      </c>
      <c r="D108" s="3" t="s">
        <v>94</v>
      </c>
      <c r="E108" s="171"/>
      <c r="F108" s="94">
        <f t="shared" si="11"/>
        <v>0</v>
      </c>
      <c r="G108" s="213"/>
      <c r="H108" s="31"/>
      <c r="I108" s="14"/>
      <c r="J108" s="14"/>
      <c r="K108" s="34"/>
      <c r="L108" s="89"/>
      <c r="M108" s="85"/>
      <c r="N108" s="283">
        <v>0.64464285714285718</v>
      </c>
      <c r="O108" s="19" t="s">
        <v>494</v>
      </c>
      <c r="P108" s="19">
        <v>0</v>
      </c>
      <c r="Q108" s="287" t="s">
        <v>493</v>
      </c>
      <c r="R108" s="88">
        <v>0</v>
      </c>
      <c r="S108" s="85" t="s">
        <v>31</v>
      </c>
      <c r="T108" s="283">
        <v>0.63639999999999997</v>
      </c>
      <c r="U108" s="19" t="s">
        <v>494</v>
      </c>
      <c r="V108" s="19">
        <v>0</v>
      </c>
      <c r="W108" s="287" t="s">
        <v>493</v>
      </c>
      <c r="X108" s="88">
        <v>0</v>
      </c>
      <c r="Y108" s="85" t="s">
        <v>31</v>
      </c>
      <c r="Z108" s="19"/>
      <c r="AA108" s="3"/>
      <c r="AB108" s="3"/>
      <c r="AC108" s="11"/>
      <c r="AD108" s="89"/>
      <c r="AE108" s="85"/>
      <c r="AF108" s="30"/>
      <c r="AG108" s="136"/>
      <c r="AH108" s="136"/>
      <c r="AI108" s="29"/>
      <c r="AJ108" s="104"/>
      <c r="AK108" s="137"/>
      <c r="AL108" s="279" t="s">
        <v>491</v>
      </c>
      <c r="AM108" t="str">
        <f t="shared" si="12"/>
        <v>SelenaMartiensenLazy D White ChocolateSecondary &gt;980</v>
      </c>
    </row>
    <row r="109" spans="1:40">
      <c r="A109" s="3" t="s">
        <v>84</v>
      </c>
      <c r="B109" s="3" t="s">
        <v>49</v>
      </c>
      <c r="C109" s="221" t="s">
        <v>50</v>
      </c>
      <c r="D109" s="202" t="s">
        <v>86</v>
      </c>
      <c r="E109" s="171"/>
      <c r="F109" s="94">
        <f t="shared" si="11"/>
        <v>0</v>
      </c>
      <c r="G109" s="213"/>
      <c r="H109" s="31"/>
      <c r="I109" s="14"/>
      <c r="J109" s="14"/>
      <c r="K109" s="34"/>
      <c r="L109" s="89"/>
      <c r="M109" s="85"/>
      <c r="N109" s="283">
        <v>0</v>
      </c>
      <c r="O109" s="19">
        <v>0</v>
      </c>
      <c r="P109" s="19">
        <v>0</v>
      </c>
      <c r="Q109" s="287">
        <v>0</v>
      </c>
      <c r="R109" s="88">
        <v>0</v>
      </c>
      <c r="S109" s="85"/>
      <c r="T109" s="283">
        <v>0</v>
      </c>
      <c r="U109" s="19">
        <v>0</v>
      </c>
      <c r="V109" s="19">
        <v>0</v>
      </c>
      <c r="W109" s="287">
        <v>0</v>
      </c>
      <c r="X109" s="88">
        <v>0</v>
      </c>
      <c r="Y109" s="85"/>
      <c r="Z109" s="19"/>
      <c r="AA109" s="3"/>
      <c r="AB109" s="3"/>
      <c r="AC109" s="11"/>
      <c r="AD109" s="89"/>
      <c r="AE109" s="85"/>
      <c r="AF109" s="30"/>
      <c r="AG109" s="136"/>
      <c r="AH109" s="136"/>
      <c r="AI109" s="29"/>
      <c r="AJ109" s="104"/>
      <c r="AK109" s="137"/>
      <c r="AL109" s="279" t="s">
        <v>491</v>
      </c>
      <c r="AM109" t="str">
        <f t="shared" si="12"/>
        <v>MaddisonWissellDamara VWNZSecondary &gt;980</v>
      </c>
    </row>
    <row r="110" spans="1:40">
      <c r="A110" s="14" t="s">
        <v>136</v>
      </c>
      <c r="B110" s="14" t="s">
        <v>122</v>
      </c>
      <c r="C110" s="223" t="s">
        <v>111</v>
      </c>
      <c r="D110" s="219" t="s">
        <v>137</v>
      </c>
      <c r="E110" s="171"/>
      <c r="F110" s="94">
        <f t="shared" si="11"/>
        <v>0</v>
      </c>
      <c r="G110" s="213"/>
      <c r="H110" s="31"/>
      <c r="I110" s="14"/>
      <c r="J110" s="14"/>
      <c r="K110" s="34"/>
      <c r="L110" s="89"/>
      <c r="M110" s="85"/>
      <c r="N110" s="283">
        <v>0</v>
      </c>
      <c r="O110" s="19">
        <v>0</v>
      </c>
      <c r="P110" s="19">
        <v>0</v>
      </c>
      <c r="Q110" s="287">
        <v>0</v>
      </c>
      <c r="R110" s="88">
        <v>0</v>
      </c>
      <c r="S110" s="85"/>
      <c r="T110" s="283">
        <v>0</v>
      </c>
      <c r="U110" s="19">
        <v>0</v>
      </c>
      <c r="V110" s="19">
        <v>0</v>
      </c>
      <c r="W110" s="287">
        <v>0</v>
      </c>
      <c r="X110" s="88">
        <v>0</v>
      </c>
      <c r="Y110" s="85"/>
      <c r="Z110" s="19"/>
      <c r="AA110" s="3"/>
      <c r="AB110" s="3"/>
      <c r="AC110" s="11"/>
      <c r="AD110" s="89"/>
      <c r="AE110" s="85"/>
      <c r="AF110" s="30"/>
      <c r="AG110" s="136"/>
      <c r="AH110" s="136"/>
      <c r="AI110" s="29"/>
      <c r="AJ110" s="104"/>
      <c r="AK110" s="137"/>
      <c r="AL110" s="279" t="s">
        <v>491</v>
      </c>
      <c r="AM110" t="str">
        <f t="shared" si="12"/>
        <v>ShilohBerdenElm Tree RoosevetSecondary &gt;980</v>
      </c>
    </row>
    <row r="111" spans="1:40">
      <c r="A111" s="219" t="s">
        <v>125</v>
      </c>
      <c r="B111" s="219" t="s">
        <v>126</v>
      </c>
      <c r="C111" s="219" t="s">
        <v>127</v>
      </c>
      <c r="D111" s="219" t="s">
        <v>128</v>
      </c>
      <c r="E111" s="171"/>
      <c r="F111" s="94">
        <f t="shared" ref="F111:F114" si="13">SUM(X111,L111,R111,AD111,AJ111)</f>
        <v>0</v>
      </c>
      <c r="G111" s="213"/>
      <c r="H111" s="31"/>
      <c r="I111" s="14"/>
      <c r="J111" s="14"/>
      <c r="K111" s="34"/>
      <c r="L111" s="89"/>
      <c r="M111" s="85"/>
      <c r="N111" s="283">
        <v>0</v>
      </c>
      <c r="O111" s="19">
        <v>0</v>
      </c>
      <c r="P111" s="19">
        <v>0</v>
      </c>
      <c r="Q111" s="287">
        <v>0</v>
      </c>
      <c r="R111" s="88">
        <v>0</v>
      </c>
      <c r="S111" s="85"/>
      <c r="T111" s="283">
        <v>0</v>
      </c>
      <c r="U111" s="19">
        <v>0</v>
      </c>
      <c r="V111" s="19">
        <v>0</v>
      </c>
      <c r="W111" s="287">
        <v>0</v>
      </c>
      <c r="X111" s="88">
        <v>0</v>
      </c>
      <c r="Y111" s="85"/>
      <c r="Z111" s="19"/>
      <c r="AA111" s="3"/>
      <c r="AB111" s="3"/>
      <c r="AC111" s="11"/>
      <c r="AD111" s="89"/>
      <c r="AE111" s="85"/>
      <c r="AF111" s="30"/>
      <c r="AG111" s="136"/>
      <c r="AH111" s="136"/>
      <c r="AI111" s="29"/>
      <c r="AJ111" s="104"/>
      <c r="AK111" s="137"/>
      <c r="AL111" s="279" t="s">
        <v>491</v>
      </c>
      <c r="AM111" t="str">
        <f t="shared" si="12"/>
        <v>KeelyHutchinsonExmoor Celtic SnowSecondary &gt;980</v>
      </c>
    </row>
    <row r="112" spans="1:40">
      <c r="A112" s="202" t="s">
        <v>228</v>
      </c>
      <c r="B112" s="202" t="s">
        <v>229</v>
      </c>
      <c r="C112" s="3" t="s">
        <v>230</v>
      </c>
      <c r="D112" s="202" t="s">
        <v>250</v>
      </c>
      <c r="E112" s="7"/>
      <c r="F112" s="94">
        <f t="shared" si="13"/>
        <v>0</v>
      </c>
      <c r="G112" s="213"/>
      <c r="H112" s="31"/>
      <c r="I112" s="14"/>
      <c r="J112" s="14"/>
      <c r="K112" s="34"/>
      <c r="L112" s="89"/>
      <c r="M112" s="85"/>
      <c r="N112" s="283">
        <v>0</v>
      </c>
      <c r="O112" s="19">
        <v>0</v>
      </c>
      <c r="P112" s="19">
        <v>0</v>
      </c>
      <c r="Q112" s="287">
        <v>0</v>
      </c>
      <c r="R112" s="88">
        <v>0</v>
      </c>
      <c r="S112" s="85"/>
      <c r="T112" s="283">
        <v>0</v>
      </c>
      <c r="U112" s="19">
        <v>0</v>
      </c>
      <c r="V112" s="19">
        <v>0</v>
      </c>
      <c r="W112" s="287">
        <v>0</v>
      </c>
      <c r="X112" s="88">
        <v>0</v>
      </c>
      <c r="Y112" s="85"/>
      <c r="Z112" s="19"/>
      <c r="AA112" s="3"/>
      <c r="AB112" s="3"/>
      <c r="AC112" s="11"/>
      <c r="AD112" s="89"/>
      <c r="AE112" s="85"/>
      <c r="AF112" s="30"/>
      <c r="AG112" s="136"/>
      <c r="AH112" s="136"/>
      <c r="AI112" s="29"/>
      <c r="AJ112" s="104"/>
      <c r="AK112" s="137"/>
      <c r="AL112" s="279" t="s">
        <v>491</v>
      </c>
      <c r="AM112" t="str">
        <f t="shared" si="12"/>
        <v>Samantha FosterSplash the CashSecondary &gt;980</v>
      </c>
    </row>
    <row r="113" spans="1:39">
      <c r="A113" s="3" t="s">
        <v>472</v>
      </c>
      <c r="B113" s="3" t="s">
        <v>473</v>
      </c>
      <c r="C113" s="202" t="s">
        <v>474</v>
      </c>
      <c r="D113" s="202" t="s">
        <v>475</v>
      </c>
      <c r="E113" s="7"/>
      <c r="F113" s="94">
        <f t="shared" si="13"/>
        <v>0</v>
      </c>
      <c r="G113" s="213"/>
      <c r="H113" s="31"/>
      <c r="I113" s="14"/>
      <c r="J113" s="14"/>
      <c r="K113" s="34"/>
      <c r="L113" s="89"/>
      <c r="M113" s="85"/>
      <c r="N113" s="283">
        <v>0</v>
      </c>
      <c r="O113" s="19">
        <v>0</v>
      </c>
      <c r="P113" s="19">
        <v>0</v>
      </c>
      <c r="Q113" s="287">
        <v>0</v>
      </c>
      <c r="R113" s="88">
        <v>0</v>
      </c>
      <c r="S113" s="85"/>
      <c r="T113" s="283">
        <v>0</v>
      </c>
      <c r="U113" s="19">
        <v>0</v>
      </c>
      <c r="V113" s="19">
        <v>0</v>
      </c>
      <c r="W113" s="287">
        <v>0</v>
      </c>
      <c r="X113" s="88">
        <v>0</v>
      </c>
      <c r="Y113" s="85"/>
      <c r="Z113" s="19"/>
      <c r="AA113" s="3"/>
      <c r="AB113" s="3"/>
      <c r="AC113" s="11"/>
      <c r="AD113" s="89"/>
      <c r="AE113" s="85"/>
      <c r="AF113" s="30"/>
      <c r="AG113" s="136"/>
      <c r="AH113" s="136"/>
      <c r="AI113" s="29"/>
      <c r="AJ113" s="104"/>
      <c r="AK113" s="137"/>
      <c r="AL113" s="279" t="s">
        <v>491</v>
      </c>
      <c r="AM113" t="str">
        <f t="shared" si="12"/>
        <v>MiaOzolinsSierra Farm SerendipitySecondary &gt;980</v>
      </c>
    </row>
    <row r="114" spans="1:39" ht="16.5" thickBot="1">
      <c r="A114" s="2"/>
      <c r="B114" s="2"/>
      <c r="C114" s="3"/>
      <c r="D114" s="2"/>
      <c r="E114" s="7"/>
      <c r="F114" s="331">
        <f t="shared" si="13"/>
        <v>0</v>
      </c>
      <c r="G114" s="211"/>
      <c r="H114" s="19"/>
      <c r="I114" s="3"/>
      <c r="J114" s="3"/>
      <c r="K114" s="11"/>
      <c r="L114" s="90"/>
      <c r="M114" s="86"/>
      <c r="N114" s="19"/>
      <c r="O114" s="3"/>
      <c r="P114" s="3"/>
      <c r="Q114" s="273"/>
      <c r="R114" s="90"/>
      <c r="S114" s="86"/>
      <c r="T114" s="19"/>
      <c r="U114" s="3"/>
      <c r="V114" s="3"/>
      <c r="W114" s="11"/>
      <c r="X114" s="90"/>
      <c r="Y114" s="86"/>
      <c r="Z114" s="19"/>
      <c r="AA114" s="3"/>
      <c r="AB114" s="3"/>
      <c r="AC114" s="11"/>
      <c r="AD114" s="89"/>
      <c r="AE114" s="85"/>
      <c r="AF114" s="30"/>
      <c r="AG114" s="136"/>
      <c r="AH114" s="136"/>
      <c r="AI114" s="29"/>
      <c r="AJ114" s="344"/>
      <c r="AK114" s="343"/>
    </row>
    <row r="115" spans="1:39">
      <c r="A115" s="7"/>
      <c r="B115" s="7"/>
      <c r="D115" s="7"/>
      <c r="E115" s="7"/>
      <c r="F115" s="183"/>
      <c r="G115" s="184"/>
    </row>
    <row r="116" spans="1:39" ht="16.5" thickBot="1">
      <c r="A116" s="7"/>
      <c r="B116" s="7"/>
      <c r="D116" s="7"/>
      <c r="E116" s="7"/>
      <c r="F116" s="7"/>
      <c r="G116" s="7"/>
    </row>
    <row r="117" spans="1:39" ht="24" thickBot="1">
      <c r="H117" s="418" t="s">
        <v>290</v>
      </c>
      <c r="I117" s="441"/>
      <c r="J117" s="441"/>
      <c r="K117" s="441"/>
      <c r="L117" s="441"/>
      <c r="M117" s="58"/>
      <c r="N117" s="442" t="s">
        <v>291</v>
      </c>
      <c r="O117" s="442"/>
      <c r="P117" s="442"/>
      <c r="Q117" s="442"/>
      <c r="R117" s="442"/>
      <c r="S117" s="60"/>
      <c r="T117" s="390" t="s">
        <v>292</v>
      </c>
      <c r="U117" s="391"/>
      <c r="V117" s="391"/>
      <c r="W117" s="391"/>
      <c r="X117" s="391"/>
      <c r="Y117" s="199"/>
      <c r="Z117" s="427" t="s">
        <v>293</v>
      </c>
      <c r="AA117" s="443"/>
      <c r="AB117" s="443"/>
      <c r="AC117" s="443"/>
      <c r="AD117" s="443"/>
      <c r="AE117" s="198"/>
      <c r="AF117" s="402" t="s">
        <v>294</v>
      </c>
      <c r="AG117" s="442"/>
      <c r="AH117" s="442"/>
      <c r="AI117" s="442"/>
      <c r="AJ117" s="442"/>
      <c r="AK117" s="60"/>
    </row>
    <row r="118" spans="1:39" s="43" customFormat="1" ht="63">
      <c r="A118" s="416" t="s">
        <v>325</v>
      </c>
      <c r="B118" s="409"/>
      <c r="C118" s="409"/>
      <c r="D118" s="409"/>
      <c r="E118" s="440"/>
      <c r="F118" s="117" t="s">
        <v>9</v>
      </c>
      <c r="G118" s="51" t="s">
        <v>10</v>
      </c>
      <c r="H118" s="46" t="s">
        <v>296</v>
      </c>
      <c r="I118" s="39" t="s">
        <v>11</v>
      </c>
      <c r="J118" s="40" t="s">
        <v>12</v>
      </c>
      <c r="K118" s="64" t="s">
        <v>297</v>
      </c>
      <c r="L118" s="102" t="s">
        <v>15</v>
      </c>
      <c r="M118" s="51" t="s">
        <v>298</v>
      </c>
      <c r="N118" s="333" t="s">
        <v>296</v>
      </c>
      <c r="O118" s="248" t="s">
        <v>11</v>
      </c>
      <c r="P118" s="248" t="s">
        <v>12</v>
      </c>
      <c r="Q118" s="286" t="s">
        <v>297</v>
      </c>
      <c r="R118" s="87" t="s">
        <v>15</v>
      </c>
      <c r="S118" s="57" t="s">
        <v>298</v>
      </c>
      <c r="T118" s="282" t="s">
        <v>296</v>
      </c>
      <c r="U118" s="248" t="s">
        <v>11</v>
      </c>
      <c r="V118" s="248" t="s">
        <v>12</v>
      </c>
      <c r="W118" s="281" t="s">
        <v>297</v>
      </c>
      <c r="X118" s="87" t="s">
        <v>15</v>
      </c>
      <c r="Y118" s="57" t="s">
        <v>298</v>
      </c>
      <c r="Z118" s="54" t="s">
        <v>296</v>
      </c>
      <c r="AA118" s="55" t="s">
        <v>11</v>
      </c>
      <c r="AB118" s="61" t="s">
        <v>12</v>
      </c>
      <c r="AC118" s="62" t="s">
        <v>297</v>
      </c>
      <c r="AD118" s="97" t="s">
        <v>15</v>
      </c>
      <c r="AE118" s="57" t="s">
        <v>298</v>
      </c>
      <c r="AF118" s="54" t="s">
        <v>296</v>
      </c>
      <c r="AG118" s="55" t="s">
        <v>11</v>
      </c>
      <c r="AH118" s="61" t="s">
        <v>12</v>
      </c>
      <c r="AI118" s="62" t="s">
        <v>297</v>
      </c>
      <c r="AJ118" s="91" t="s">
        <v>15</v>
      </c>
      <c r="AK118" s="57" t="s">
        <v>298</v>
      </c>
      <c r="AL118" s="43">
        <v>95</v>
      </c>
    </row>
    <row r="119" spans="1:39">
      <c r="A119" s="1" t="s">
        <v>22</v>
      </c>
      <c r="B119" s="1" t="s">
        <v>23</v>
      </c>
      <c r="C119" s="4" t="s">
        <v>24</v>
      </c>
      <c r="D119" s="1" t="s">
        <v>25</v>
      </c>
      <c r="E119" s="170" t="s">
        <v>26</v>
      </c>
      <c r="F119" s="93"/>
      <c r="G119" s="95"/>
      <c r="H119" s="19"/>
      <c r="I119" s="3"/>
      <c r="J119" s="3"/>
      <c r="K119" s="11"/>
      <c r="L119" s="111"/>
      <c r="M119" s="78"/>
      <c r="N119" s="19"/>
      <c r="O119" s="3"/>
      <c r="P119" s="3"/>
      <c r="Q119" s="273"/>
      <c r="R119" s="111"/>
      <c r="S119" s="291"/>
      <c r="T119" s="19"/>
      <c r="U119" s="3"/>
      <c r="V119" s="3"/>
      <c r="W119" s="11"/>
      <c r="X119" s="88"/>
      <c r="Y119" s="78"/>
      <c r="Z119" s="15"/>
      <c r="AA119" s="3"/>
      <c r="AB119" s="3"/>
      <c r="AC119" s="11"/>
      <c r="AD119" s="88"/>
      <c r="AE119" s="78"/>
      <c r="AF119" s="15"/>
      <c r="AG119" s="3"/>
      <c r="AH119" s="3"/>
      <c r="AI119" s="11"/>
      <c r="AJ119" s="88"/>
      <c r="AK119" s="78"/>
      <c r="AL119" s="279" t="s">
        <v>491</v>
      </c>
      <c r="AM119" t="str">
        <f>A119&amp;B119&amp;D119&amp;AL119&amp;$AL$118</f>
        <v>Rider First NameRider Last NameName of Pony/HorseSecondary &gt;995</v>
      </c>
    </row>
    <row r="120" spans="1:39">
      <c r="A120" s="3" t="s">
        <v>65</v>
      </c>
      <c r="B120" s="3" t="s">
        <v>66</v>
      </c>
      <c r="C120" s="3" t="s">
        <v>67</v>
      </c>
      <c r="D120" s="3" t="s">
        <v>68</v>
      </c>
      <c r="E120" s="216">
        <v>9</v>
      </c>
      <c r="F120" s="94">
        <f t="shared" ref="F120:F132" si="14">SUM(X120,L120,R120,AD120,AJ120)</f>
        <v>0</v>
      </c>
      <c r="G120" s="141"/>
      <c r="H120" s="19">
        <v>65.89</v>
      </c>
      <c r="I120" s="236">
        <v>12</v>
      </c>
      <c r="J120" s="3">
        <v>2.8</v>
      </c>
      <c r="K120" s="11"/>
      <c r="L120" s="289" t="s">
        <v>31</v>
      </c>
      <c r="M120" s="78"/>
      <c r="N120" s="283">
        <v>0</v>
      </c>
      <c r="O120" s="19">
        <v>0</v>
      </c>
      <c r="P120" s="19">
        <v>0</v>
      </c>
      <c r="Q120" s="287">
        <v>0</v>
      </c>
      <c r="R120" s="111">
        <v>0</v>
      </c>
      <c r="S120" s="291"/>
      <c r="T120" s="283">
        <v>0</v>
      </c>
      <c r="U120" s="19">
        <v>0</v>
      </c>
      <c r="V120" s="19">
        <v>0</v>
      </c>
      <c r="W120" s="287">
        <v>0</v>
      </c>
      <c r="X120" s="88">
        <v>0</v>
      </c>
      <c r="Y120" s="78"/>
      <c r="Z120" s="15"/>
      <c r="AA120" s="3"/>
      <c r="AB120" s="3"/>
      <c r="AC120" s="11"/>
      <c r="AD120" s="88"/>
      <c r="AE120" s="78"/>
      <c r="AF120" s="15">
        <v>51.05</v>
      </c>
      <c r="AG120" s="3" t="s">
        <v>515</v>
      </c>
      <c r="AH120" s="3"/>
      <c r="AI120" s="11"/>
      <c r="AJ120" s="88"/>
      <c r="AK120" s="78"/>
      <c r="AL120" s="279" t="s">
        <v>491</v>
      </c>
      <c r="AM120" t="str">
        <f t="shared" ref="AM120:AM132" si="15">A120&amp;B120&amp;D120&amp;AL120&amp;$AL$118</f>
        <v>AnnabelleKnowlesSandon Grove Bobby RoyalSecondary &gt;995</v>
      </c>
    </row>
    <row r="121" spans="1:39">
      <c r="A121" s="3" t="s">
        <v>201</v>
      </c>
      <c r="B121" s="3" t="s">
        <v>280</v>
      </c>
      <c r="C121" s="202" t="s">
        <v>63</v>
      </c>
      <c r="D121" s="202" t="s">
        <v>281</v>
      </c>
      <c r="E121" s="216">
        <v>11</v>
      </c>
      <c r="F121" s="94">
        <f t="shared" si="14"/>
        <v>68</v>
      </c>
      <c r="G121" s="141">
        <f>S121+Y121</f>
        <v>40</v>
      </c>
      <c r="H121" s="19">
        <v>67.319999999999993</v>
      </c>
      <c r="I121" s="3">
        <v>0</v>
      </c>
      <c r="J121" s="3">
        <v>0.4</v>
      </c>
      <c r="K121" s="11">
        <v>33.1</v>
      </c>
      <c r="L121" s="111">
        <v>18</v>
      </c>
      <c r="M121" s="78">
        <v>18</v>
      </c>
      <c r="N121" s="283">
        <v>0.71964285714285714</v>
      </c>
      <c r="O121" s="19">
        <v>0</v>
      </c>
      <c r="P121" s="19">
        <v>0</v>
      </c>
      <c r="Q121" s="287">
        <v>28.035714285714285</v>
      </c>
      <c r="R121" s="111">
        <v>25</v>
      </c>
      <c r="S121" s="291">
        <v>20</v>
      </c>
      <c r="T121" s="283">
        <v>0.69910000000000005</v>
      </c>
      <c r="U121" s="19">
        <v>0</v>
      </c>
      <c r="V121" s="19">
        <v>0</v>
      </c>
      <c r="W121" s="287">
        <v>30.089999999999996</v>
      </c>
      <c r="X121" s="88">
        <v>25</v>
      </c>
      <c r="Y121" s="78">
        <v>20</v>
      </c>
      <c r="Z121" s="15"/>
      <c r="AA121" s="3"/>
      <c r="AB121" s="2"/>
      <c r="AC121" s="5"/>
      <c r="AD121" s="88"/>
      <c r="AE121" s="78"/>
      <c r="AF121" s="15"/>
      <c r="AG121" s="3"/>
      <c r="AH121" s="2"/>
      <c r="AI121" s="5"/>
      <c r="AJ121" s="88"/>
      <c r="AK121" s="78"/>
      <c r="AL121" s="279" t="s">
        <v>491</v>
      </c>
      <c r="AM121" t="str">
        <f t="shared" si="15"/>
        <v>MadisonHedleyBradgate Park Don Palermo Secondary &gt;995</v>
      </c>
    </row>
    <row r="122" spans="1:39">
      <c r="A122" s="3" t="s">
        <v>139</v>
      </c>
      <c r="B122" t="s">
        <v>140</v>
      </c>
      <c r="C122" s="202" t="s">
        <v>63</v>
      </c>
      <c r="D122" s="3" t="s">
        <v>141</v>
      </c>
      <c r="E122" s="205">
        <v>11</v>
      </c>
      <c r="F122" s="94">
        <f t="shared" si="14"/>
        <v>0</v>
      </c>
      <c r="G122" s="165"/>
      <c r="H122" s="19"/>
      <c r="I122" s="3"/>
      <c r="J122" s="3"/>
      <c r="K122" s="11"/>
      <c r="L122" s="290"/>
      <c r="M122" s="79"/>
      <c r="N122" s="283">
        <v>0</v>
      </c>
      <c r="O122" s="19">
        <v>0</v>
      </c>
      <c r="P122" s="19">
        <v>0</v>
      </c>
      <c r="Q122" s="287">
        <v>0</v>
      </c>
      <c r="R122" s="111">
        <v>0</v>
      </c>
      <c r="S122" s="291"/>
      <c r="T122" s="283">
        <v>0</v>
      </c>
      <c r="U122" s="19">
        <v>0</v>
      </c>
      <c r="V122" s="19">
        <v>0</v>
      </c>
      <c r="W122" s="287">
        <v>0</v>
      </c>
      <c r="X122" s="88">
        <v>0</v>
      </c>
      <c r="Y122" s="78"/>
      <c r="Z122" s="15"/>
      <c r="AA122" s="3"/>
      <c r="AB122" s="3"/>
      <c r="AC122" s="11"/>
      <c r="AD122" s="88"/>
      <c r="AE122" s="78"/>
      <c r="AF122" s="15"/>
      <c r="AG122" s="3"/>
      <c r="AH122" s="3"/>
      <c r="AI122" s="11"/>
      <c r="AJ122" s="88"/>
      <c r="AK122" s="78"/>
      <c r="AL122" s="279" t="s">
        <v>491</v>
      </c>
      <c r="AM122" t="str">
        <f t="shared" si="15"/>
        <v>EllaBeisselFictionSecondary &gt;995</v>
      </c>
    </row>
    <row r="123" spans="1:39">
      <c r="A123" s="202" t="s">
        <v>132</v>
      </c>
      <c r="B123" s="202" t="s">
        <v>133</v>
      </c>
      <c r="C123" t="s">
        <v>134</v>
      </c>
      <c r="D123" s="202" t="s">
        <v>135</v>
      </c>
      <c r="E123" s="216">
        <v>12</v>
      </c>
      <c r="F123" s="94">
        <f t="shared" si="14"/>
        <v>0</v>
      </c>
      <c r="G123" s="141"/>
      <c r="H123" s="19"/>
      <c r="I123" s="3"/>
      <c r="J123" s="3"/>
      <c r="K123" s="11"/>
      <c r="L123" s="111"/>
      <c r="M123" s="78"/>
      <c r="N123" s="283">
        <v>0</v>
      </c>
      <c r="O123" s="19">
        <v>0</v>
      </c>
      <c r="P123" s="19">
        <v>0</v>
      </c>
      <c r="Q123" s="287">
        <v>0</v>
      </c>
      <c r="R123" s="111">
        <v>0</v>
      </c>
      <c r="S123" s="291"/>
      <c r="T123" s="283">
        <v>0</v>
      </c>
      <c r="U123" s="19">
        <v>0</v>
      </c>
      <c r="V123" s="19">
        <v>0</v>
      </c>
      <c r="W123" s="287">
        <v>0</v>
      </c>
      <c r="X123" s="88">
        <v>0</v>
      </c>
      <c r="Y123" s="78"/>
      <c r="Z123" s="15"/>
      <c r="AA123" s="3"/>
      <c r="AB123" s="3"/>
      <c r="AC123" s="11"/>
      <c r="AD123" s="88"/>
      <c r="AE123" s="78"/>
      <c r="AF123" s="15"/>
      <c r="AG123" s="3"/>
      <c r="AH123" s="3"/>
      <c r="AI123" s="11"/>
      <c r="AJ123" s="88"/>
      <c r="AK123" s="78"/>
      <c r="AL123" s="279" t="s">
        <v>491</v>
      </c>
      <c r="AM123" t="str">
        <f t="shared" si="15"/>
        <v>ShaeTweddleQuick TimeSecondary &gt;995</v>
      </c>
    </row>
    <row r="124" spans="1:39">
      <c r="A124" s="3" t="s">
        <v>101</v>
      </c>
      <c r="B124" s="3" t="s">
        <v>33</v>
      </c>
      <c r="C124" s="202" t="s">
        <v>79</v>
      </c>
      <c r="D124" s="202" t="s">
        <v>102</v>
      </c>
      <c r="E124" s="216">
        <v>8</v>
      </c>
      <c r="F124" s="94">
        <f t="shared" si="14"/>
        <v>19</v>
      </c>
      <c r="G124" s="141"/>
      <c r="H124" s="19">
        <v>72.86</v>
      </c>
      <c r="I124" s="3">
        <v>4</v>
      </c>
      <c r="J124" s="3">
        <v>1.2</v>
      </c>
      <c r="K124" s="11">
        <v>32.299999999999997</v>
      </c>
      <c r="L124" s="111">
        <v>19</v>
      </c>
      <c r="M124" s="78">
        <v>19</v>
      </c>
      <c r="N124" s="283">
        <v>0</v>
      </c>
      <c r="O124" s="19">
        <v>0</v>
      </c>
      <c r="P124" s="19">
        <v>0</v>
      </c>
      <c r="Q124" s="287">
        <v>0</v>
      </c>
      <c r="R124" s="111">
        <v>0</v>
      </c>
      <c r="S124" s="291"/>
      <c r="T124" s="283">
        <v>0</v>
      </c>
      <c r="U124" s="19">
        <v>0</v>
      </c>
      <c r="V124" s="19">
        <v>0</v>
      </c>
      <c r="W124" s="287">
        <v>0</v>
      </c>
      <c r="X124" s="88">
        <v>0</v>
      </c>
      <c r="Y124" s="78"/>
      <c r="Z124" s="15"/>
      <c r="AA124" s="3"/>
      <c r="AB124" s="3"/>
      <c r="AC124" s="11"/>
      <c r="AD124" s="88"/>
      <c r="AE124" s="78"/>
      <c r="AF124" s="15">
        <v>75.53</v>
      </c>
      <c r="AG124" s="3" t="s">
        <v>479</v>
      </c>
      <c r="AH124" s="3"/>
      <c r="AI124" s="11"/>
      <c r="AJ124" s="88"/>
      <c r="AK124" s="78"/>
      <c r="AL124" s="279" t="s">
        <v>491</v>
      </c>
      <c r="AM124" t="str">
        <f t="shared" si="15"/>
        <v>StirlingRobertsDARTANIANSecondary &gt;995</v>
      </c>
    </row>
    <row r="125" spans="1:39">
      <c r="A125" s="3" t="s">
        <v>121</v>
      </c>
      <c r="B125" s="3" t="s">
        <v>122</v>
      </c>
      <c r="C125" s="202" t="s">
        <v>111</v>
      </c>
      <c r="D125" s="202" t="s">
        <v>142</v>
      </c>
      <c r="E125" s="216">
        <v>12</v>
      </c>
      <c r="F125" s="94">
        <f t="shared" si="14"/>
        <v>20</v>
      </c>
      <c r="G125" s="141"/>
      <c r="H125" s="19">
        <v>69.64</v>
      </c>
      <c r="I125" s="3">
        <v>0</v>
      </c>
      <c r="J125" s="3">
        <v>0</v>
      </c>
      <c r="K125" s="11">
        <v>30.4</v>
      </c>
      <c r="L125" s="111">
        <v>20</v>
      </c>
      <c r="M125" s="78">
        <v>20</v>
      </c>
      <c r="N125" s="283">
        <v>0</v>
      </c>
      <c r="O125" s="19">
        <v>0</v>
      </c>
      <c r="P125" s="19">
        <v>0</v>
      </c>
      <c r="Q125" s="287">
        <v>0</v>
      </c>
      <c r="R125" s="111">
        <v>0</v>
      </c>
      <c r="S125" s="291"/>
      <c r="T125" s="283">
        <v>0</v>
      </c>
      <c r="U125" s="19">
        <v>0</v>
      </c>
      <c r="V125" s="19">
        <v>0</v>
      </c>
      <c r="W125" s="287">
        <v>0</v>
      </c>
      <c r="X125" s="88">
        <v>0</v>
      </c>
      <c r="Y125" s="78"/>
      <c r="Z125" s="15"/>
      <c r="AA125" s="3"/>
      <c r="AB125" s="3"/>
      <c r="AC125" s="11"/>
      <c r="AD125" s="88"/>
      <c r="AE125" s="78"/>
      <c r="AF125" s="138"/>
      <c r="AG125" s="127"/>
      <c r="AH125" s="127"/>
      <c r="AI125" s="128"/>
      <c r="AJ125" s="126"/>
      <c r="AK125" s="125"/>
      <c r="AL125" s="279" t="s">
        <v>491</v>
      </c>
      <c r="AM125" t="str">
        <f t="shared" si="15"/>
        <v>IndyBerdenEV DocettaSecondary &gt;995</v>
      </c>
    </row>
    <row r="126" spans="1:39">
      <c r="A126" t="s">
        <v>84</v>
      </c>
      <c r="B126" s="3" t="s">
        <v>49</v>
      </c>
      <c r="C126" s="3" t="s">
        <v>50</v>
      </c>
      <c r="D126" t="s">
        <v>85</v>
      </c>
      <c r="E126" s="171"/>
      <c r="F126" s="94">
        <f t="shared" si="14"/>
        <v>0</v>
      </c>
      <c r="G126" s="141"/>
      <c r="H126" s="19"/>
      <c r="I126" s="3"/>
      <c r="J126" s="3"/>
      <c r="K126" s="11"/>
      <c r="L126" s="111"/>
      <c r="M126" s="78"/>
      <c r="N126" s="283">
        <v>0</v>
      </c>
      <c r="O126" s="19">
        <v>0</v>
      </c>
      <c r="P126" s="19">
        <v>0</v>
      </c>
      <c r="Q126" s="287">
        <v>0</v>
      </c>
      <c r="R126" s="111">
        <v>0</v>
      </c>
      <c r="S126" s="291"/>
      <c r="T126" s="283">
        <v>0</v>
      </c>
      <c r="U126" s="19">
        <v>0</v>
      </c>
      <c r="V126" s="19">
        <v>0</v>
      </c>
      <c r="W126" s="287">
        <v>0</v>
      </c>
      <c r="X126" s="88">
        <v>0</v>
      </c>
      <c r="Y126" s="78"/>
      <c r="Z126" s="15"/>
      <c r="AA126" s="3"/>
      <c r="AB126" s="3"/>
      <c r="AC126" s="11"/>
      <c r="AD126" s="88"/>
      <c r="AE126" s="78"/>
      <c r="AF126" s="30"/>
      <c r="AG126" s="136"/>
      <c r="AH126" s="136"/>
      <c r="AI126" s="29"/>
      <c r="AJ126" s="104"/>
      <c r="AK126" s="137"/>
      <c r="AL126" s="279" t="s">
        <v>491</v>
      </c>
      <c r="AM126" t="str">
        <f t="shared" si="15"/>
        <v>MaddisonWissellKeira Park CavalierSecondary &gt;995</v>
      </c>
    </row>
    <row r="127" spans="1:39">
      <c r="A127" s="3" t="s">
        <v>121</v>
      </c>
      <c r="B127" t="s">
        <v>122</v>
      </c>
      <c r="C127" s="202" t="s">
        <v>111</v>
      </c>
      <c r="D127" s="202" t="s">
        <v>124</v>
      </c>
      <c r="E127" s="171"/>
      <c r="F127" s="94">
        <f t="shared" si="14"/>
        <v>65</v>
      </c>
      <c r="G127" s="141">
        <f>S127+Y127</f>
        <v>38</v>
      </c>
      <c r="H127" s="19">
        <v>63.57</v>
      </c>
      <c r="I127" s="3">
        <v>0</v>
      </c>
      <c r="J127" s="3">
        <v>0</v>
      </c>
      <c r="K127" s="11">
        <v>36.4</v>
      </c>
      <c r="L127" s="111">
        <v>17</v>
      </c>
      <c r="M127" s="78">
        <v>17</v>
      </c>
      <c r="N127" s="283">
        <v>0.67946428571428574</v>
      </c>
      <c r="O127" s="19">
        <v>0</v>
      </c>
      <c r="P127" s="19">
        <v>0</v>
      </c>
      <c r="Q127" s="287">
        <v>32.053571428571423</v>
      </c>
      <c r="R127" s="111">
        <v>24</v>
      </c>
      <c r="S127" s="291">
        <v>19</v>
      </c>
      <c r="T127" s="283">
        <v>0.6643</v>
      </c>
      <c r="U127" s="19">
        <v>0</v>
      </c>
      <c r="V127" s="19">
        <v>0</v>
      </c>
      <c r="W127" s="287">
        <v>33.57</v>
      </c>
      <c r="X127" s="88">
        <v>24</v>
      </c>
      <c r="Y127" s="162">
        <v>19</v>
      </c>
      <c r="Z127" s="15"/>
      <c r="AA127" s="3"/>
      <c r="AB127" s="3"/>
      <c r="AC127" s="11"/>
      <c r="AD127" s="88"/>
      <c r="AE127" s="78"/>
      <c r="AF127" s="15"/>
      <c r="AG127" s="3"/>
      <c r="AH127" s="3"/>
      <c r="AI127" s="11"/>
      <c r="AJ127" s="88"/>
      <c r="AK127" s="78"/>
      <c r="AL127" s="279" t="s">
        <v>491</v>
      </c>
      <c r="AM127" t="str">
        <f t="shared" si="15"/>
        <v>IndyBerdenMcCartney Park Sugar n SpiceSecondary &gt;995</v>
      </c>
    </row>
    <row r="128" spans="1:39">
      <c r="A128" s="3" t="s">
        <v>117</v>
      </c>
      <c r="B128" s="3" t="s">
        <v>118</v>
      </c>
      <c r="C128" s="202" t="s">
        <v>119</v>
      </c>
      <c r="D128" s="202" t="s">
        <v>120</v>
      </c>
      <c r="E128" s="171"/>
      <c r="F128" s="94">
        <f t="shared" si="14"/>
        <v>0</v>
      </c>
      <c r="G128" s="141"/>
      <c r="H128" s="19"/>
      <c r="I128" s="3"/>
      <c r="J128" s="3"/>
      <c r="K128" s="11"/>
      <c r="L128" s="111"/>
      <c r="M128" s="78"/>
      <c r="N128" s="283">
        <v>0</v>
      </c>
      <c r="O128" s="19">
        <v>0</v>
      </c>
      <c r="P128" s="19">
        <v>0</v>
      </c>
      <c r="Q128" s="287">
        <v>0</v>
      </c>
      <c r="R128" s="111">
        <v>0</v>
      </c>
      <c r="S128" s="291"/>
      <c r="T128" s="283">
        <v>0</v>
      </c>
      <c r="U128" s="19">
        <v>0</v>
      </c>
      <c r="V128" s="19">
        <v>0</v>
      </c>
      <c r="W128" s="287">
        <v>0</v>
      </c>
      <c r="X128" s="88">
        <v>0</v>
      </c>
      <c r="Y128" s="78"/>
      <c r="Z128" s="15"/>
      <c r="AA128" s="3"/>
      <c r="AB128" s="3"/>
      <c r="AC128" s="11"/>
      <c r="AD128" s="88"/>
      <c r="AE128" s="78"/>
      <c r="AF128" s="15"/>
      <c r="AG128" s="3"/>
      <c r="AH128" s="3"/>
      <c r="AI128" s="11"/>
      <c r="AJ128" s="88"/>
      <c r="AK128" s="78"/>
      <c r="AL128" s="279" t="s">
        <v>491</v>
      </c>
      <c r="AM128" t="str">
        <f t="shared" si="15"/>
        <v>HaileyArnoldWyoming LassSecondary &gt;995</v>
      </c>
    </row>
    <row r="129" spans="1:39">
      <c r="A129" s="3" t="s">
        <v>91</v>
      </c>
      <c r="B129" s="3" t="s">
        <v>92</v>
      </c>
      <c r="C129" s="202" t="s">
        <v>93</v>
      </c>
      <c r="D129" s="3" t="s">
        <v>94</v>
      </c>
      <c r="E129" s="171"/>
      <c r="F129" s="94">
        <f t="shared" si="14"/>
        <v>0</v>
      </c>
      <c r="G129" s="213"/>
      <c r="H129" s="31"/>
      <c r="I129" s="14"/>
      <c r="J129" s="14"/>
      <c r="K129" s="34"/>
      <c r="L129" s="152"/>
      <c r="M129" s="85"/>
      <c r="N129" s="283">
        <v>0</v>
      </c>
      <c r="O129" s="19">
        <v>0</v>
      </c>
      <c r="P129" s="19">
        <v>0</v>
      </c>
      <c r="Q129" s="287">
        <v>0</v>
      </c>
      <c r="R129" s="111">
        <v>0</v>
      </c>
      <c r="S129" s="292"/>
      <c r="T129" s="283">
        <v>0</v>
      </c>
      <c r="U129" s="19">
        <v>0</v>
      </c>
      <c r="V129" s="19">
        <v>0</v>
      </c>
      <c r="W129" s="287">
        <v>0</v>
      </c>
      <c r="X129" s="88">
        <v>0</v>
      </c>
      <c r="Y129" s="85"/>
      <c r="Z129" s="23"/>
      <c r="AA129" s="14"/>
      <c r="AB129" s="14"/>
      <c r="AC129" s="34"/>
      <c r="AD129" s="89"/>
      <c r="AE129" s="85"/>
      <c r="AF129" s="23"/>
      <c r="AG129" s="14"/>
      <c r="AH129" s="14"/>
      <c r="AI129" s="34"/>
      <c r="AJ129" s="89"/>
      <c r="AK129" s="85"/>
      <c r="AL129" s="279" t="s">
        <v>491</v>
      </c>
      <c r="AM129" t="str">
        <f t="shared" si="15"/>
        <v>SelenaMartiensenLazy D White ChocolateSecondary &gt;995</v>
      </c>
    </row>
    <row r="130" spans="1:39">
      <c r="A130" s="14" t="s">
        <v>136</v>
      </c>
      <c r="B130" s="14" t="s">
        <v>122</v>
      </c>
      <c r="C130" s="223" t="s">
        <v>111</v>
      </c>
      <c r="D130" s="219" t="s">
        <v>137</v>
      </c>
      <c r="E130" s="171"/>
      <c r="F130" s="94">
        <f t="shared" si="14"/>
        <v>0</v>
      </c>
      <c r="G130" s="213"/>
      <c r="H130" s="31"/>
      <c r="I130" s="14"/>
      <c r="J130" s="14"/>
      <c r="K130" s="34"/>
      <c r="L130" s="152"/>
      <c r="M130" s="85"/>
      <c r="N130" s="283">
        <v>0</v>
      </c>
      <c r="O130" s="19">
        <v>0</v>
      </c>
      <c r="P130" s="19">
        <v>0</v>
      </c>
      <c r="Q130" s="287">
        <v>0</v>
      </c>
      <c r="R130" s="111">
        <v>0</v>
      </c>
      <c r="S130" s="292"/>
      <c r="T130" s="283">
        <v>0</v>
      </c>
      <c r="U130" s="19">
        <v>0</v>
      </c>
      <c r="V130" s="19">
        <v>0</v>
      </c>
      <c r="W130" s="287">
        <v>0</v>
      </c>
      <c r="X130" s="88">
        <v>0</v>
      </c>
      <c r="Y130" s="85"/>
      <c r="Z130" s="23"/>
      <c r="AA130" s="14"/>
      <c r="AB130" s="14"/>
      <c r="AC130" s="34"/>
      <c r="AD130" s="89"/>
      <c r="AE130" s="85"/>
      <c r="AF130" s="23"/>
      <c r="AG130" s="14"/>
      <c r="AH130" s="14"/>
      <c r="AI130" s="34"/>
      <c r="AJ130" s="89"/>
      <c r="AK130" s="85"/>
      <c r="AL130" s="279" t="s">
        <v>491</v>
      </c>
      <c r="AM130" t="str">
        <f t="shared" si="15"/>
        <v>ShilohBerdenElm Tree RoosevetSecondary &gt;995</v>
      </c>
    </row>
    <row r="131" spans="1:39">
      <c r="A131" s="3" t="s">
        <v>84</v>
      </c>
      <c r="B131" s="3" t="s">
        <v>49</v>
      </c>
      <c r="C131" s="221" t="s">
        <v>50</v>
      </c>
      <c r="D131" s="202" t="s">
        <v>86</v>
      </c>
      <c r="E131" s="171"/>
      <c r="F131" s="94">
        <f t="shared" si="14"/>
        <v>0</v>
      </c>
      <c r="G131" s="213"/>
      <c r="H131" s="31"/>
      <c r="I131" s="14"/>
      <c r="J131" s="14"/>
      <c r="K131" s="34"/>
      <c r="L131" s="152"/>
      <c r="M131" s="85"/>
      <c r="N131" s="283">
        <v>0</v>
      </c>
      <c r="O131" s="19">
        <v>0</v>
      </c>
      <c r="P131" s="19">
        <v>0</v>
      </c>
      <c r="Q131" s="287">
        <v>0</v>
      </c>
      <c r="R131" s="111">
        <v>0</v>
      </c>
      <c r="S131" s="292"/>
      <c r="T131" s="283">
        <v>0</v>
      </c>
      <c r="U131" s="19">
        <v>0</v>
      </c>
      <c r="V131" s="19">
        <v>0</v>
      </c>
      <c r="W131" s="287">
        <v>0</v>
      </c>
      <c r="X131" s="88">
        <v>0</v>
      </c>
      <c r="Y131" s="85"/>
      <c r="Z131" s="23"/>
      <c r="AA131" s="14"/>
      <c r="AB131" s="14"/>
      <c r="AC131" s="34"/>
      <c r="AD131" s="89"/>
      <c r="AE131" s="85"/>
      <c r="AF131" s="23"/>
      <c r="AG131" s="14"/>
      <c r="AH131" s="14"/>
      <c r="AI131" s="34"/>
      <c r="AJ131" s="89"/>
      <c r="AK131" s="85"/>
      <c r="AL131" s="279" t="s">
        <v>491</v>
      </c>
      <c r="AM131" t="str">
        <f t="shared" si="15"/>
        <v>MaddisonWissellDamara VWNZSecondary &gt;995</v>
      </c>
    </row>
    <row r="132" spans="1:39" ht="16.5" thickBot="1">
      <c r="A132" s="219" t="s">
        <v>125</v>
      </c>
      <c r="B132" s="219" t="s">
        <v>126</v>
      </c>
      <c r="C132" s="219" t="s">
        <v>127</v>
      </c>
      <c r="D132" s="219" t="s">
        <v>128</v>
      </c>
      <c r="E132" s="171"/>
      <c r="F132" s="210">
        <f t="shared" si="14"/>
        <v>0</v>
      </c>
      <c r="G132" s="211"/>
      <c r="H132" s="21"/>
      <c r="I132" s="17"/>
      <c r="J132" s="17"/>
      <c r="K132" s="26"/>
      <c r="L132" s="112"/>
      <c r="M132" s="86"/>
      <c r="N132" s="283">
        <v>0</v>
      </c>
      <c r="O132" s="19">
        <v>0</v>
      </c>
      <c r="P132" s="19">
        <v>0</v>
      </c>
      <c r="Q132" s="287">
        <v>0</v>
      </c>
      <c r="R132" s="111">
        <v>0</v>
      </c>
      <c r="S132" s="291"/>
      <c r="T132" s="283">
        <v>0</v>
      </c>
      <c r="U132" s="19">
        <v>0</v>
      </c>
      <c r="V132" s="19">
        <v>0</v>
      </c>
      <c r="W132" s="287">
        <v>0</v>
      </c>
      <c r="X132" s="88">
        <v>0</v>
      </c>
      <c r="Y132" s="86"/>
      <c r="Z132" s="20"/>
      <c r="AA132" s="17"/>
      <c r="AB132" s="17"/>
      <c r="AC132" s="26"/>
      <c r="AD132" s="90"/>
      <c r="AE132" s="86"/>
      <c r="AF132" s="131"/>
      <c r="AG132" s="132"/>
      <c r="AH132" s="132"/>
      <c r="AI132" s="133"/>
      <c r="AJ132" s="134"/>
      <c r="AK132" s="135"/>
      <c r="AL132" s="279" t="s">
        <v>491</v>
      </c>
      <c r="AM132" t="str">
        <f t="shared" si="15"/>
        <v>KeelyHutchinsonExmoor Celtic SnowSecondary &gt;995</v>
      </c>
    </row>
    <row r="133" spans="1:39">
      <c r="A133" s="172"/>
      <c r="B133" s="172"/>
      <c r="C133" s="172"/>
      <c r="D133" s="172"/>
      <c r="E133" s="7"/>
      <c r="F133" s="183"/>
      <c r="G133" s="184"/>
    </row>
    <row r="134" spans="1:39" ht="16.5" thickBot="1"/>
    <row r="135" spans="1:39" ht="24" thickBot="1">
      <c r="H135" s="418" t="s">
        <v>290</v>
      </c>
      <c r="I135" s="441"/>
      <c r="J135" s="441"/>
      <c r="K135" s="441"/>
      <c r="L135" s="441"/>
      <c r="M135" s="58"/>
      <c r="N135" s="442" t="s">
        <v>291</v>
      </c>
      <c r="O135" s="442"/>
      <c r="P135" s="442"/>
      <c r="Q135" s="442"/>
      <c r="R135" s="442"/>
      <c r="S135" s="60"/>
      <c r="T135" s="390" t="s">
        <v>292</v>
      </c>
      <c r="U135" s="391"/>
      <c r="V135" s="391"/>
      <c r="W135" s="391"/>
      <c r="X135" s="391"/>
      <c r="Y135" s="199"/>
      <c r="Z135" s="427" t="s">
        <v>293</v>
      </c>
      <c r="AA135" s="443"/>
      <c r="AB135" s="443"/>
      <c r="AC135" s="443"/>
      <c r="AD135" s="443"/>
      <c r="AE135" s="198"/>
      <c r="AF135" s="402" t="s">
        <v>294</v>
      </c>
      <c r="AG135" s="442"/>
      <c r="AH135" s="442"/>
      <c r="AI135" s="442"/>
      <c r="AJ135" s="442"/>
      <c r="AK135" s="60"/>
    </row>
    <row r="136" spans="1:39" s="43" customFormat="1" ht="63">
      <c r="A136" s="416" t="s">
        <v>326</v>
      </c>
      <c r="B136" s="409"/>
      <c r="C136" s="409"/>
      <c r="D136" s="409"/>
      <c r="E136" s="440"/>
      <c r="F136" s="117" t="s">
        <v>9</v>
      </c>
      <c r="G136" s="51" t="s">
        <v>10</v>
      </c>
      <c r="H136" s="46" t="s">
        <v>296</v>
      </c>
      <c r="I136" s="39" t="s">
        <v>11</v>
      </c>
      <c r="J136" s="40" t="s">
        <v>12</v>
      </c>
      <c r="K136" s="64" t="s">
        <v>297</v>
      </c>
      <c r="L136" s="97" t="s">
        <v>15</v>
      </c>
      <c r="M136" s="65" t="s">
        <v>298</v>
      </c>
      <c r="N136" s="282" t="s">
        <v>296</v>
      </c>
      <c r="O136" s="248" t="s">
        <v>11</v>
      </c>
      <c r="P136" s="248" t="s">
        <v>12</v>
      </c>
      <c r="Q136" s="286" t="s">
        <v>297</v>
      </c>
      <c r="R136" s="87" t="s">
        <v>15</v>
      </c>
      <c r="S136" s="57" t="s">
        <v>298</v>
      </c>
      <c r="T136" s="282" t="s">
        <v>296</v>
      </c>
      <c r="U136" s="248" t="s">
        <v>11</v>
      </c>
      <c r="V136" s="248" t="s">
        <v>12</v>
      </c>
      <c r="W136" s="281" t="s">
        <v>297</v>
      </c>
      <c r="X136" s="87" t="s">
        <v>15</v>
      </c>
      <c r="Y136" s="57" t="s">
        <v>298</v>
      </c>
      <c r="Z136" s="54" t="s">
        <v>296</v>
      </c>
      <c r="AA136" s="55" t="s">
        <v>11</v>
      </c>
      <c r="AB136" s="61" t="s">
        <v>12</v>
      </c>
      <c r="AC136" s="62" t="s">
        <v>297</v>
      </c>
      <c r="AD136" s="97" t="s">
        <v>15</v>
      </c>
      <c r="AE136" s="57" t="s">
        <v>298</v>
      </c>
      <c r="AF136" s="54" t="s">
        <v>296</v>
      </c>
      <c r="AG136" s="55" t="s">
        <v>11</v>
      </c>
      <c r="AH136" s="61" t="s">
        <v>12</v>
      </c>
      <c r="AI136" s="62" t="s">
        <v>297</v>
      </c>
      <c r="AJ136" s="91" t="s">
        <v>15</v>
      </c>
      <c r="AK136" s="57" t="s">
        <v>298</v>
      </c>
      <c r="AL136" s="43">
        <v>105</v>
      </c>
    </row>
    <row r="137" spans="1:39">
      <c r="A137" s="1" t="s">
        <v>22</v>
      </c>
      <c r="B137" s="1" t="s">
        <v>23</v>
      </c>
      <c r="C137" s="4" t="s">
        <v>24</v>
      </c>
      <c r="D137" s="1" t="s">
        <v>25</v>
      </c>
      <c r="E137" s="170" t="s">
        <v>26</v>
      </c>
      <c r="F137" s="93"/>
      <c r="G137" s="95"/>
      <c r="H137" s="19"/>
      <c r="I137" s="3"/>
      <c r="J137" s="3"/>
      <c r="K137" s="11"/>
      <c r="L137" s="88"/>
      <c r="M137" s="98"/>
      <c r="N137" s="283">
        <v>0</v>
      </c>
      <c r="O137" s="19">
        <v>0</v>
      </c>
      <c r="P137" s="19">
        <v>0</v>
      </c>
      <c r="Q137" s="287">
        <v>0</v>
      </c>
      <c r="R137" s="88">
        <v>0</v>
      </c>
      <c r="S137" s="78"/>
      <c r="T137" s="15"/>
      <c r="U137" s="3"/>
      <c r="V137" s="3"/>
      <c r="W137" s="11"/>
      <c r="X137" s="88"/>
      <c r="Y137" s="33"/>
      <c r="Z137" s="15"/>
      <c r="AA137" s="3"/>
      <c r="AB137" s="3"/>
      <c r="AC137" s="11"/>
      <c r="AD137" s="88"/>
      <c r="AE137" s="33"/>
      <c r="AF137" s="15"/>
      <c r="AG137" s="3"/>
      <c r="AH137" s="3"/>
      <c r="AI137" s="11"/>
      <c r="AJ137" s="88"/>
      <c r="AK137" s="78"/>
      <c r="AL137" s="279" t="s">
        <v>491</v>
      </c>
      <c r="AM137" t="str">
        <f>A137&amp;B137&amp;D137&amp;AL137&amp;$AL$136</f>
        <v>Rider First NameRider Last NameName of Pony/HorseSecondary &gt;9105</v>
      </c>
    </row>
    <row r="138" spans="1:39">
      <c r="A138" s="3" t="s">
        <v>201</v>
      </c>
      <c r="B138" s="3" t="s">
        <v>280</v>
      </c>
      <c r="C138" s="202" t="s">
        <v>63</v>
      </c>
      <c r="D138" s="202" t="s">
        <v>281</v>
      </c>
      <c r="E138" s="216">
        <v>11</v>
      </c>
      <c r="F138" s="94">
        <f>SUM(X138,L138,R138,AD138,AJ138)</f>
        <v>0</v>
      </c>
      <c r="G138" s="141"/>
      <c r="H138" s="19"/>
      <c r="I138" s="3"/>
      <c r="J138" s="3"/>
      <c r="K138" s="11"/>
      <c r="L138" s="88"/>
      <c r="M138" s="98"/>
      <c r="N138" s="283">
        <v>0</v>
      </c>
      <c r="O138" s="19">
        <v>0</v>
      </c>
      <c r="P138" s="19">
        <v>0</v>
      </c>
      <c r="Q138" s="287">
        <v>0</v>
      </c>
      <c r="R138" s="88">
        <v>0</v>
      </c>
      <c r="S138" s="78"/>
      <c r="T138" s="283">
        <v>0</v>
      </c>
      <c r="U138" s="19">
        <v>0</v>
      </c>
      <c r="V138" s="19">
        <v>0</v>
      </c>
      <c r="W138" s="287">
        <v>0</v>
      </c>
      <c r="X138" s="88">
        <v>0</v>
      </c>
      <c r="Y138" s="33"/>
      <c r="Z138" s="15"/>
      <c r="AA138" s="3"/>
      <c r="AB138" s="3"/>
      <c r="AC138" s="11"/>
      <c r="AD138" s="88"/>
      <c r="AE138" s="33"/>
      <c r="AF138" s="15"/>
      <c r="AG138" s="3"/>
      <c r="AH138" s="3"/>
      <c r="AI138" s="11"/>
      <c r="AJ138" s="88"/>
      <c r="AK138" s="78"/>
      <c r="AL138" s="279" t="s">
        <v>491</v>
      </c>
      <c r="AM138" t="str">
        <f t="shared" ref="AM138:AM140" si="16">A138&amp;B138&amp;D138&amp;AL138&amp;$AL$136</f>
        <v>MadisonHedleyBradgate Park Don Palermo Secondary &gt;9105</v>
      </c>
    </row>
    <row r="139" spans="1:39">
      <c r="A139" s="3" t="s">
        <v>139</v>
      </c>
      <c r="B139" s="3" t="s">
        <v>140</v>
      </c>
      <c r="C139" s="202" t="s">
        <v>63</v>
      </c>
      <c r="D139" s="3" t="s">
        <v>141</v>
      </c>
      <c r="E139" s="205">
        <v>11</v>
      </c>
      <c r="F139" s="94">
        <f>SUM(X139,L139,R139,AD139,AJ139)</f>
        <v>0</v>
      </c>
      <c r="G139" s="213"/>
      <c r="H139" s="31"/>
      <c r="I139" s="14"/>
      <c r="J139" s="14"/>
      <c r="K139" s="34"/>
      <c r="L139" s="89"/>
      <c r="M139" s="106"/>
      <c r="N139" s="283">
        <v>0</v>
      </c>
      <c r="O139" s="19">
        <v>0</v>
      </c>
      <c r="P139" s="19">
        <v>0</v>
      </c>
      <c r="Q139" s="287">
        <v>0</v>
      </c>
      <c r="R139" s="88">
        <v>0</v>
      </c>
      <c r="S139" s="78"/>
      <c r="T139" s="283">
        <v>0</v>
      </c>
      <c r="U139" s="19">
        <v>0</v>
      </c>
      <c r="V139" s="19">
        <v>0</v>
      </c>
      <c r="W139" s="287">
        <v>0</v>
      </c>
      <c r="X139" s="88">
        <v>0</v>
      </c>
      <c r="Y139" s="215"/>
      <c r="Z139" s="23"/>
      <c r="AA139" s="14"/>
      <c r="AB139" s="14"/>
      <c r="AC139" s="34"/>
      <c r="AD139" s="89"/>
      <c r="AE139" s="215"/>
      <c r="AF139" s="23"/>
      <c r="AG139" s="14"/>
      <c r="AH139" s="14"/>
      <c r="AI139" s="34"/>
      <c r="AJ139" s="89"/>
      <c r="AK139" s="85"/>
      <c r="AL139" s="279" t="s">
        <v>491</v>
      </c>
      <c r="AM139" t="str">
        <f t="shared" si="16"/>
        <v>EllaBeisselFictionSecondary &gt;9105</v>
      </c>
    </row>
    <row r="140" spans="1:39" ht="16.5" thickBot="1">
      <c r="A140" s="3" t="s">
        <v>121</v>
      </c>
      <c r="B140" s="3" t="s">
        <v>122</v>
      </c>
      <c r="C140" s="202" t="s">
        <v>111</v>
      </c>
      <c r="D140" s="202" t="s">
        <v>498</v>
      </c>
      <c r="E140" s="216">
        <v>12</v>
      </c>
      <c r="F140" s="210">
        <f>SUM(X140,L140,R140,AD140,AJ140)</f>
        <v>70</v>
      </c>
      <c r="G140" s="141">
        <f>S140+Y140</f>
        <v>40</v>
      </c>
      <c r="H140" s="21">
        <v>67.34</v>
      </c>
      <c r="I140" s="17">
        <v>0</v>
      </c>
      <c r="J140" s="17">
        <v>0</v>
      </c>
      <c r="K140" s="26">
        <v>30.7</v>
      </c>
      <c r="L140" s="90">
        <v>20</v>
      </c>
      <c r="M140" s="99">
        <v>20</v>
      </c>
      <c r="N140" s="283">
        <v>0.7366071428571429</v>
      </c>
      <c r="O140" s="19">
        <v>0</v>
      </c>
      <c r="P140" s="19">
        <v>0</v>
      </c>
      <c r="Q140" s="287">
        <v>26.339285714285708</v>
      </c>
      <c r="R140" s="88">
        <v>25</v>
      </c>
      <c r="S140" s="78">
        <v>20</v>
      </c>
      <c r="T140" s="283">
        <v>0.66015000000000001</v>
      </c>
      <c r="U140" s="19">
        <v>4</v>
      </c>
      <c r="V140" s="19">
        <v>0</v>
      </c>
      <c r="W140" s="287">
        <v>37.984999999999999</v>
      </c>
      <c r="X140" s="88">
        <v>25</v>
      </c>
      <c r="Y140" s="78">
        <v>20</v>
      </c>
      <c r="Z140" s="20"/>
      <c r="AA140" s="17"/>
      <c r="AB140" s="35"/>
      <c r="AC140" s="66"/>
      <c r="AD140" s="90"/>
      <c r="AE140" s="50"/>
      <c r="AF140" s="131"/>
      <c r="AG140" s="132"/>
      <c r="AH140" s="139"/>
      <c r="AI140" s="140"/>
      <c r="AJ140" s="134"/>
      <c r="AK140" s="135"/>
      <c r="AL140" s="279" t="s">
        <v>491</v>
      </c>
      <c r="AM140" t="str">
        <f t="shared" si="16"/>
        <v>IndyBerdenEV DOLCETTASecondary &gt;9105</v>
      </c>
    </row>
    <row r="141" spans="1:39" ht="16.5" thickBot="1"/>
    <row r="142" spans="1:39" ht="24" thickBot="1">
      <c r="H142" s="418" t="s">
        <v>290</v>
      </c>
      <c r="I142" s="441"/>
      <c r="J142" s="441"/>
      <c r="K142" s="441"/>
      <c r="L142" s="441"/>
      <c r="M142" s="58"/>
      <c r="N142" s="442" t="s">
        <v>291</v>
      </c>
      <c r="O142" s="442"/>
      <c r="P142" s="442"/>
      <c r="Q142" s="442"/>
      <c r="R142" s="442"/>
      <c r="S142" s="60"/>
      <c r="T142" s="390" t="s">
        <v>292</v>
      </c>
      <c r="U142" s="391"/>
      <c r="V142" s="391"/>
      <c r="W142" s="391"/>
      <c r="X142" s="391"/>
      <c r="Y142" s="199"/>
      <c r="Z142" s="427" t="s">
        <v>293</v>
      </c>
      <c r="AA142" s="443"/>
      <c r="AB142" s="443"/>
      <c r="AC142" s="443"/>
      <c r="AD142" s="443"/>
      <c r="AE142" s="198"/>
      <c r="AF142" s="402" t="s">
        <v>294</v>
      </c>
      <c r="AG142" s="442"/>
      <c r="AH142" s="442"/>
      <c r="AI142" s="442"/>
      <c r="AJ142" s="442"/>
      <c r="AK142" s="60"/>
    </row>
    <row r="143" spans="1:39" ht="63">
      <c r="A143" s="416" t="s">
        <v>327</v>
      </c>
      <c r="B143" s="409"/>
      <c r="C143" s="409"/>
      <c r="D143" s="409"/>
      <c r="E143" s="440"/>
      <c r="F143" s="117" t="s">
        <v>9</v>
      </c>
      <c r="G143" s="51" t="s">
        <v>10</v>
      </c>
      <c r="H143" s="46" t="s">
        <v>296</v>
      </c>
      <c r="I143" s="39" t="s">
        <v>11</v>
      </c>
      <c r="J143" s="40" t="s">
        <v>12</v>
      </c>
      <c r="K143" s="64" t="s">
        <v>297</v>
      </c>
      <c r="L143" s="97" t="s">
        <v>15</v>
      </c>
      <c r="M143" s="65" t="s">
        <v>298</v>
      </c>
      <c r="N143" s="282" t="s">
        <v>296</v>
      </c>
      <c r="O143" s="248" t="s">
        <v>11</v>
      </c>
      <c r="P143" s="248" t="s">
        <v>12</v>
      </c>
      <c r="Q143" s="286" t="s">
        <v>297</v>
      </c>
      <c r="R143" s="87" t="s">
        <v>15</v>
      </c>
      <c r="S143" s="57" t="s">
        <v>298</v>
      </c>
      <c r="T143" s="282" t="s">
        <v>296</v>
      </c>
      <c r="U143" s="248" t="s">
        <v>11</v>
      </c>
      <c r="V143" s="248" t="s">
        <v>12</v>
      </c>
      <c r="W143" s="281" t="s">
        <v>297</v>
      </c>
      <c r="X143" s="87" t="s">
        <v>15</v>
      </c>
      <c r="Y143" s="57" t="s">
        <v>298</v>
      </c>
      <c r="Z143" s="54" t="s">
        <v>296</v>
      </c>
      <c r="AA143" s="55" t="s">
        <v>11</v>
      </c>
      <c r="AB143" s="61" t="s">
        <v>12</v>
      </c>
      <c r="AC143" s="62" t="s">
        <v>297</v>
      </c>
      <c r="AD143" s="97" t="s">
        <v>15</v>
      </c>
      <c r="AE143" s="57" t="s">
        <v>298</v>
      </c>
      <c r="AF143" s="54" t="s">
        <v>296</v>
      </c>
      <c r="AG143" s="55" t="s">
        <v>11</v>
      </c>
      <c r="AH143" s="61" t="s">
        <v>12</v>
      </c>
      <c r="AI143" s="62" t="s">
        <v>297</v>
      </c>
      <c r="AJ143" s="91" t="s">
        <v>15</v>
      </c>
      <c r="AK143" s="57" t="s">
        <v>298</v>
      </c>
      <c r="AL143">
        <v>115</v>
      </c>
    </row>
    <row r="144" spans="1:39">
      <c r="A144" s="1" t="s">
        <v>22</v>
      </c>
      <c r="B144" s="1" t="s">
        <v>23</v>
      </c>
      <c r="C144" s="4" t="s">
        <v>24</v>
      </c>
      <c r="D144" s="1" t="s">
        <v>25</v>
      </c>
      <c r="E144" s="170" t="s">
        <v>26</v>
      </c>
      <c r="F144" s="93"/>
      <c r="G144" s="95"/>
      <c r="H144" s="19"/>
      <c r="I144" s="3"/>
      <c r="J144" s="3"/>
      <c r="K144" s="11"/>
      <c r="L144" s="88"/>
      <c r="M144" s="98"/>
      <c r="N144" s="19"/>
      <c r="O144" s="3"/>
      <c r="P144" s="3"/>
      <c r="Q144" s="273"/>
      <c r="R144" s="88"/>
      <c r="S144" s="25"/>
      <c r="T144" s="15"/>
      <c r="U144" s="3"/>
      <c r="V144" s="3"/>
      <c r="W144" s="11"/>
      <c r="X144" s="88"/>
      <c r="Y144" s="33"/>
      <c r="Z144" s="15"/>
      <c r="AA144" s="3"/>
      <c r="AB144" s="3"/>
      <c r="AC144" s="11"/>
      <c r="AD144" s="88"/>
      <c r="AE144" s="33"/>
      <c r="AF144" s="15"/>
      <c r="AG144" s="3"/>
      <c r="AH144" s="3"/>
      <c r="AI144" s="11"/>
      <c r="AJ144" s="88"/>
      <c r="AK144" s="78"/>
      <c r="AL144" s="279" t="s">
        <v>491</v>
      </c>
      <c r="AM144" t="str">
        <f>A144&amp;B144&amp;D144&amp;AL144&amp;$AL$143</f>
        <v>Rider First NameRider Last NameName of Pony/HorseSecondary &gt;9115</v>
      </c>
    </row>
    <row r="145" spans="1:38">
      <c r="A145" s="3"/>
      <c r="B145" s="3"/>
      <c r="C145" s="202"/>
      <c r="D145" s="202"/>
      <c r="E145" s="171"/>
      <c r="F145" s="94">
        <f>SUM(X145,L145,R145,AD145,AJ145)</f>
        <v>0</v>
      </c>
      <c r="G145" s="141"/>
      <c r="H145" s="19"/>
      <c r="I145" s="3"/>
      <c r="J145" s="3"/>
      <c r="K145" s="11"/>
      <c r="L145" s="88"/>
      <c r="M145" s="98"/>
      <c r="N145" s="19"/>
      <c r="O145" s="3"/>
      <c r="P145" s="3"/>
      <c r="Q145" s="273"/>
      <c r="R145" s="88"/>
      <c r="S145" s="25"/>
      <c r="T145" s="15"/>
      <c r="U145" s="3"/>
      <c r="V145" s="3"/>
      <c r="W145" s="11"/>
      <c r="X145" s="88"/>
      <c r="Y145" s="33"/>
      <c r="Z145" s="15"/>
      <c r="AA145" s="3"/>
      <c r="AB145" s="3"/>
      <c r="AC145" s="11"/>
      <c r="AD145" s="88"/>
      <c r="AE145" s="33"/>
      <c r="AF145" s="15"/>
      <c r="AG145" s="3"/>
      <c r="AH145" s="3"/>
      <c r="AI145" s="11"/>
      <c r="AJ145" s="88"/>
      <c r="AK145" s="78"/>
      <c r="AL145" s="279" t="s">
        <v>491</v>
      </c>
    </row>
    <row r="146" spans="1:38" ht="16.5" thickBot="1">
      <c r="A146" s="3"/>
      <c r="B146" s="3"/>
      <c r="C146" s="202"/>
      <c r="D146" s="3"/>
      <c r="E146" s="171"/>
      <c r="F146" s="210">
        <f>SUM(X146,L146,R146,AD146,AJ146)</f>
        <v>0</v>
      </c>
      <c r="G146" s="211"/>
      <c r="H146" s="21"/>
      <c r="I146" s="17"/>
      <c r="J146" s="17"/>
      <c r="K146" s="26"/>
      <c r="L146" s="90"/>
      <c r="M146" s="99"/>
      <c r="N146" s="21"/>
      <c r="O146" s="17"/>
      <c r="P146" s="17"/>
      <c r="Q146" s="288"/>
      <c r="R146" s="90"/>
      <c r="S146" s="36"/>
      <c r="T146" s="20"/>
      <c r="U146" s="17"/>
      <c r="V146" s="35"/>
      <c r="W146" s="66"/>
      <c r="X146" s="90"/>
      <c r="Y146" s="50"/>
      <c r="Z146" s="20"/>
      <c r="AA146" s="17"/>
      <c r="AB146" s="35"/>
      <c r="AC146" s="66"/>
      <c r="AD146" s="90"/>
      <c r="AE146" s="50"/>
      <c r="AF146" s="131"/>
      <c r="AG146" s="132"/>
      <c r="AH146" s="139"/>
      <c r="AI146" s="140"/>
      <c r="AJ146" s="134"/>
      <c r="AK146" s="135"/>
    </row>
  </sheetData>
  <protectedRanges>
    <protectedRange algorithmName="SHA-512" hashValue="Apnk9LEbYxRpSZcjU97H6doUg/5csDURqMcDtbiOpYdX3f6l5Yvzsxaqv13NMtippi1Z0/Pw9Etvtktb0idoXQ==" saltValue="0XBid9/n7HrDOp1hu6OxVA==" spinCount="100000" sqref="T23:U23 AL1:XFD5 A1:D7 A9:D9 A57:D57 A56:B56 D56 A58:B58 D58 A88:B88 D88 A89:D91 A63:D63 A61:B61 D61 A92:B92 D92 A29:B29 D29 A44:B44 D44 A65:B65 D65 A97:B98 D97:D98 F61:J61 E100 E103:E119 F44:M44 A93:D95 A99:E99 E18 A100:D105 A112:D112 A109:D110 E76 C106:C108 A122:D128 A133:D139 C76:C77 A62:J62 C129 A68:J75 A46:C46 A130:D131 A114:D119 C80 AL21:XFD24 AN6:XFD20 E78:M78 F115:XFD117 E133:XFD135 F139:M139 A141:XFD142 E93:M93 F122:M122 E89:M90 A82:XFD83 E1:AK4 AL39:XFD42 AN25:XFD38 T6:AK6 X5:AK5 T25:AK25 X24:AK24 A43:G43 A42:M42 T43:AK43 X42:AK42 A53:M53 A54:AK54 R53:S53 X53:AK53 A85:AK85 A84:M84 R84:S84 X84:XFD84 F118:M118 R118:S118 X118:XFD118 E136:M138 R136:S136 X136:XFD136 A146:XFD1048576 A143:M143 R143:S143 X143:XFD143 L43:M43 E46:M47 AL49:XFD53 AN43:XFD48 F119:AK119 E123:M132 AN137:XFD140 A144:AK145 AM145:XFD145 AN119:XFD132 AN144:XFD144 E5:M7 A35:M35 A48:M49 A50:S52 A59:J60 F79:M80 E81:R81 AN54:XFD79 F120:M120 R120:S132 T20:V22 W20:AK23 A36:AK41 T49:AK52 X120:AK132 T80:XFD81 R76:R80 X86:AK105 X138:AK140 R137:AK137 R138:S140 R5:S19 X7:AK19 X26:AK35 R24:S35 R42:S49 X44:AK48 R55:S75 S76:S81 X55:AK79 R86:S113 A121:M121 E140:M140 F91:M92 F86:M88 F76:J77 A45:M45 A24:M28 F55:M57 F58:J58 K58:M77 F63:J65 D67:J67 A21:S23 F29:M29 A30:M33 E34:M34 F94:M113 A11:E17 AN85:XFD113 F114:AE114 AL114:XFD114 X106:AE113 AF106:AK114 E8 A19:E20 G20:S20 G8:M19 F8:F20 E66:J66" name="Range1"/>
    <protectedRange algorithmName="SHA-512" hashValue="NAZD3qgxdrlzabacLBE6e7h5ZmXY7wxINVLTXmDWPfUES+YR2V1HNj/E15OhYFiJLVmWPKJ0egYjXUfTOKONZg==" saltValue="Ncxfyc7xk9aUc4+aZopcog==" spinCount="100000" sqref="E77 E79:E80" name="Range1_1"/>
    <protectedRange algorithmName="SHA-512" hashValue="Apnk9LEbYxRpSZcjU97H6doUg/5csDURqMcDtbiOpYdX3f6l5Yvzsxaqv13NMtippi1Z0/Pw9Etvtktb0idoXQ==" saltValue="0XBid9/n7HrDOp1hu6OxVA==" spinCount="100000" sqref="A55:D55 C56 C58 C88 C61 C92 C65 C98" name="Range1_1_1"/>
    <protectedRange algorithmName="SHA-512" hashValue="NAZD3qgxdrlzabacLBE6e7h5ZmXY7wxINVLTXmDWPfUES+YR2V1HNj/E15OhYFiJLVmWPKJ0egYjXUfTOKONZg==" saltValue="Ncxfyc7xk9aUc4+aZopcog==" spinCount="100000" sqref="D10" name="Range1_2"/>
    <protectedRange algorithmName="SHA-512" hashValue="NAZD3qgxdrlzabacLBE6e7h5ZmXY7wxINVLTXmDWPfUES+YR2V1HNj/E15OhYFiJLVmWPKJ0egYjXUfTOKONZg==" saltValue="Ncxfyc7xk9aUc4+aZopcog==" spinCount="100000" sqref="A10:C10" name="Range1_5"/>
    <protectedRange algorithmName="SHA-512" hashValue="NAZD3qgxdrlzabacLBE6e7h5ZmXY7wxINVLTXmDWPfUES+YR2V1HNj/E15OhYFiJLVmWPKJ0egYjXUfTOKONZg==" saltValue="Ncxfyc7xk9aUc4+aZopcog==" spinCount="100000" sqref="D64" name="Range1_3"/>
    <protectedRange algorithmName="SHA-512" hashValue="Apnk9LEbYxRpSZcjU97H6doUg/5csDURqMcDtbiOpYdX3f6l5Yvzsxaqv13NMtippi1Z0/Pw9Etvtktb0idoXQ==" saltValue="0XBid9/n7HrDOp1hu6OxVA==" spinCount="100000" sqref="A64:C64 C29 C44 C47" name="Range1_10"/>
    <protectedRange algorithmName="SHA-512" hashValue="NAZD3qgxdrlzabacLBE6e7h5ZmXY7wxINVLTXmDWPfUES+YR2V1HNj/E15OhYFiJLVmWPKJ0egYjXUfTOKONZg==" saltValue="Ncxfyc7xk9aUc4+aZopcog==" spinCount="100000" sqref="D96" name="Range1_4"/>
    <protectedRange algorithmName="SHA-512" hashValue="Apnk9LEbYxRpSZcjU97H6doUg/5csDURqMcDtbiOpYdX3f6l5Yvzsxaqv13NMtippi1Z0/Pw9Etvtktb0idoXQ==" saltValue="0XBid9/n7HrDOp1hu6OxVA==" spinCount="100000" sqref="A96:C96 C97" name="Range1_10_1"/>
    <protectedRange algorithmName="SHA-512" hashValue="gd6M1j8R2Vcbfm85n99c1D0xjmQvjBlg34UZhxeJx1NLSFqB74OeW1e3isf5ACnAc8NEYyF7OwgEUMDCcurwNA==" saltValue="t3zYNUJUDTdmjGFelNhf8w==" spinCount="100000" sqref="E55" name="Range1_6"/>
    <protectedRange algorithmName="SHA-512" hashValue="gd6M1j8R2Vcbfm85n99c1D0xjmQvjBlg34UZhxeJx1NLSFqB74OeW1e3isf5ACnAc8NEYyF7OwgEUMDCcurwNA==" saltValue="t3zYNUJUDTdmjGFelNhf8w==" spinCount="100000" sqref="E86" name="Range1_7"/>
    <protectedRange algorithmName="SHA-512" hashValue="NAZD3qgxdrlzabacLBE6e7h5ZmXY7wxINVLTXmDWPfUES+YR2V1HNj/E15OhYFiJLVmWPKJ0egYjXUfTOKONZg==" saltValue="Ncxfyc7xk9aUc4+aZopcog==" spinCount="100000" sqref="E56" name="Range1_8"/>
    <protectedRange algorithmName="SHA-512" hashValue="Bl55MZj0cAqUqTsmKqKQ8GjYk3z4r6sHC6GjzmBjr6bDBl+Gt4qfajFFbigrPAXyjSmBZ+XipVR00qWHQUUL2w==" saltValue="vFo3gsO1ur+Yqg/JT+qeQg==" spinCount="100000" sqref="E87" name="Range1_9"/>
    <protectedRange algorithmName="SHA-512" hashValue="Bl55MZj0cAqUqTsmKqKQ8GjYk3z4r6sHC6GjzmBjr6bDBl+Gt4qfajFFbigrPAXyjSmBZ+XipVR00qWHQUUL2w==" saltValue="vFo3gsO1ur+Yqg/JT+qeQg==" spinCount="100000" sqref="E120" name="Range1_11"/>
    <protectedRange algorithmName="SHA-512" hashValue="NAZD3qgxdrlzabacLBE6e7h5ZmXY7wxINVLTXmDWPfUES+YR2V1HNj/E15OhYFiJLVmWPKJ0egYjXUfTOKONZg==" saltValue="Ncxfyc7xk9aUc4+aZopcog==" spinCount="100000" sqref="E9" name="Range1_12"/>
    <protectedRange algorithmName="SHA-512" hashValue="NAZD3qgxdrlzabacLBE6e7h5ZmXY7wxINVLTXmDWPfUES+YR2V1HNj/E15OhYFiJLVmWPKJ0egYjXUfTOKONZg==" saltValue="Ncxfyc7xk9aUc4+aZopcog==" spinCount="100000" sqref="E57" name="Range1_13"/>
    <protectedRange algorithmName="SHA-512" hashValue="NAZD3qgxdrlzabacLBE6e7h5ZmXY7wxINVLTXmDWPfUES+YR2V1HNj/E15OhYFiJLVmWPKJ0egYjXUfTOKONZg==" saltValue="Ncxfyc7xk9aUc4+aZopcog==" spinCount="100000" sqref="E58" name="Range1_14"/>
    <protectedRange algorithmName="SHA-512" hashValue="NAZD3qgxdrlzabacLBE6e7h5ZmXY7wxINVLTXmDWPfUES+YR2V1HNj/E15OhYFiJLVmWPKJ0egYjXUfTOKONZg==" saltValue="Ncxfyc7xk9aUc4+aZopcog==" spinCount="100000" sqref="E88" name="Range1_15"/>
    <protectedRange algorithmName="SHA-512" hashValue="NAZD3qgxdrlzabacLBE6e7h5ZmXY7wxINVLTXmDWPfUES+YR2V1HNj/E15OhYFiJLVmWPKJ0egYjXUfTOKONZg==" saltValue="Ncxfyc7xk9aUc4+aZopcog==" spinCount="100000" sqref="E10" name="Range1_16"/>
    <protectedRange algorithmName="SHA-512" hashValue="gd6M1j8R2Vcbfm85n99c1D0xjmQvjBlg34UZhxeJx1NLSFqB74OeW1e3isf5ACnAc8NEYyF7OwgEUMDCcurwNA==" saltValue="t3zYNUJUDTdmjGFelNhf8w==" spinCount="100000" sqref="E91" name="Range1_17"/>
    <protectedRange algorithmName="SHA-512" hashValue="gd6M1j8R2Vcbfm85n99c1D0xjmQvjBlg34UZhxeJx1NLSFqB74OeW1e3isf5ACnAc8NEYyF7OwgEUMDCcurwNA==" saltValue="t3zYNUJUDTdmjGFelNhf8w==" spinCount="100000" sqref="E122" name="Range1_18"/>
    <protectedRange algorithmName="SHA-512" hashValue="gd6M1j8R2Vcbfm85n99c1D0xjmQvjBlg34UZhxeJx1NLSFqB74OeW1e3isf5ACnAc8NEYyF7OwgEUMDCcurwNA==" saltValue="t3zYNUJUDTdmjGFelNhf8w==" spinCount="100000" sqref="E139" name="Range1_19"/>
    <protectedRange algorithmName="SHA-512" hashValue="gd6M1j8R2Vcbfm85n99c1D0xjmQvjBlg34UZhxeJx1NLSFqB74OeW1e3isf5ACnAc8NEYyF7OwgEUMDCcurwNA==" saltValue="t3zYNUJUDTdmjGFelNhf8w==" spinCount="100000" sqref="E61" name="Range1_20"/>
    <protectedRange algorithmName="SHA-512" hashValue="gd6M1j8R2Vcbfm85n99c1D0xjmQvjBlg34UZhxeJx1NLSFqB74OeW1e3isf5ACnAc8NEYyF7OwgEUMDCcurwNA==" saltValue="t3zYNUJUDTdmjGFelNhf8w==" spinCount="100000" sqref="E92" name="Range1_21"/>
    <protectedRange algorithmName="SHA-512" hashValue="gd6M1j8R2Vcbfm85n99c1D0xjmQvjBlg34UZhxeJx1NLSFqB74OeW1e3isf5ACnAc8NEYyF7OwgEUMDCcurwNA==" saltValue="t3zYNUJUDTdmjGFelNhf8w==" spinCount="100000" sqref="E94:E96 E102" name="Range1_23"/>
    <protectedRange algorithmName="SHA-512" hashValue="gd6M1j8R2Vcbfm85n99c1D0xjmQvjBlg34UZhxeJx1NLSFqB74OeW1e3isf5ACnAc8NEYyF7OwgEUMDCcurwNA==" saltValue="t3zYNUJUDTdmjGFelNhf8w==" spinCount="100000" sqref="E64" name="Range1_24"/>
    <protectedRange algorithmName="SHA-512" hashValue="gd6M1j8R2Vcbfm85n99c1D0xjmQvjBlg34UZhxeJx1NLSFqB74OeW1e3isf5ACnAc8NEYyF7OwgEUMDCcurwNA==" saltValue="t3zYNUJUDTdmjGFelNhf8w==" spinCount="100000" sqref="E63" name="Range1_25"/>
    <protectedRange algorithmName="SHA-512" hashValue="gd6M1j8R2Vcbfm85n99c1D0xjmQvjBlg34UZhxeJx1NLSFqB74OeW1e3isf5ACnAc8NEYyF7OwgEUMDCcurwNA==" saltValue="t3zYNUJUDTdmjGFelNhf8w==" spinCount="100000" sqref="E29" name="Range1_26"/>
    <protectedRange algorithmName="SHA-512" hashValue="gd6M1j8R2Vcbfm85n99c1D0xjmQvjBlg34UZhxeJx1NLSFqB74OeW1e3isf5ACnAc8NEYyF7OwgEUMDCcurwNA==" saltValue="t3zYNUJUDTdmjGFelNhf8w==" spinCount="100000" sqref="E44" name="Range1_27"/>
    <protectedRange algorithmName="SHA-512" hashValue="Bl55MZj0cAqUqTsmKqKQ8GjYk3z4r6sHC6GjzmBjr6bDBl+Gt4qfajFFbigrPAXyjSmBZ+XipVR00qWHQUUL2w==" saltValue="vFo3gsO1ur+Yqg/JT+qeQg==" spinCount="100000" sqref="E97" name="Range1_28"/>
    <protectedRange algorithmName="SHA-512" hashValue="NAZD3qgxdrlzabacLBE6e7h5ZmXY7wxINVLTXmDWPfUES+YR2V1HNj/E15OhYFiJLVmWPKJ0egYjXUfTOKONZg==" saltValue="Ncxfyc7xk9aUc4+aZopcog==" spinCount="100000" sqref="E65" name="Range1_29"/>
    <protectedRange algorithmName="SHA-512" hashValue="NAZD3qgxdrlzabacLBE6e7h5ZmXY7wxINVLTXmDWPfUES+YR2V1HNj/E15OhYFiJLVmWPKJ0egYjXUfTOKONZg==" saltValue="Ncxfyc7xk9aUc4+aZopcog==" spinCount="100000" sqref="E98" name="Range1_30"/>
    <protectedRange algorithmName="SHA-512" hashValue="Apnk9LEbYxRpSZcjU97H6doUg/5csDURqMcDtbiOpYdX3f6l5Yvzsxaqv13NMtippi1Z0/Pw9Etvtktb0idoXQ==" saltValue="0XBid9/n7HrDOp1hu6OxVA==" spinCount="100000" sqref="A18:D18 A34:D34 D46" name="Range1_24_1"/>
    <protectedRange algorithmName="SHA-512" hashValue="gd6M1j8R2Vcbfm85n99c1D0xjmQvjBlg34UZhxeJx1NLSFqB74OeW1e3isf5ACnAc8NEYyF7OwgEUMDCcurwNA==" saltValue="t3zYNUJUDTdmjGFelNhf8w==" spinCount="100000" sqref="A47:B47 D47" name="Range1_31"/>
    <protectedRange algorithmName="SHA-512" hashValue="gd6M1j8R2Vcbfm85n99c1D0xjmQvjBlg34UZhxeJx1NLSFqB74OeW1e3isf5ACnAc8NEYyF7OwgEUMDCcurwNA==" saltValue="t3zYNUJUDTdmjGFelNhf8w==" spinCount="100000" sqref="A81:D81 A111:D111 A132:D132 A77:B77 D77 A80:B80 D80" name="Range1_32"/>
    <protectedRange algorithmName="SHA-512" hashValue="Apnk9LEbYxRpSZcjU97H6doUg/5csDURqMcDtbiOpYdX3f6l5Yvzsxaqv13NMtippi1Z0/Pw9Etvtktb0idoXQ==" saltValue="0XBid9/n7HrDOp1hu6OxVA==" spinCount="100000" sqref="A113:D113 A78:D78" name="Range1_59"/>
    <protectedRange algorithmName="SHA-512" hashValue="gd6M1j8R2Vcbfm85n99c1D0xjmQvjBlg34UZhxeJx1NLSFqB74OeW1e3isf5ACnAc8NEYyF7OwgEUMDCcurwNA==" saltValue="t3zYNUJUDTdmjGFelNhf8w==" spinCount="100000" sqref="N5:Q5 N24:Q24 N42:Q42 N53:Q53 N84:Q84 N118:Q118 N136:Q136 N143:Q143" name="Range1_34"/>
    <protectedRange algorithmName="SHA-512" hashValue="gd6M1j8R2Vcbfm85n99c1D0xjmQvjBlg34UZhxeJx1NLSFqB74OeW1e3isf5ACnAc8NEYyF7OwgEUMDCcurwNA==" saltValue="t3zYNUJUDTdmjGFelNhf8w==" spinCount="100000" sqref="T5:W5 T24:W24 T42:W42 T53:W53 T84:W84 T118:W118 T136:W136 T143:W143" name="Range1_35"/>
    <protectedRange algorithmName="SHA-512" hashValue="gd6M1j8R2Vcbfm85n99c1D0xjmQvjBlg34UZhxeJx1NLSFqB74OeW1e3isf5ACnAc8NEYyF7OwgEUMDCcurwNA==" saltValue="t3zYNUJUDTdmjGFelNhf8w==" spinCount="100000" sqref="N6:Q19 N25:Q35 N43:Q49 N55:Q80 N86:Q113 N120:Q132 N137:Q140 T7:W19 T26:W35 T44:W48 T55:W79 T86:W113 T120:W132 T138:W140" name="Range1_36"/>
    <protectedRange algorithmName="SHA-512" hashValue="gd6M1j8R2Vcbfm85n99c1D0xjmQvjBlg34UZhxeJx1NLSFqB74OeW1e3isf5ACnAc8NEYyF7OwgEUMDCcurwNA==" saltValue="t3zYNUJUDTdmjGFelNhf8w==" spinCount="100000" sqref="AL54" name="Range1_37"/>
    <protectedRange algorithmName="SHA-512" hashValue="gd6M1j8R2Vcbfm85n99c1D0xjmQvjBlg34UZhxeJx1NLSFqB74OeW1e3isf5ACnAc8NEYyF7OwgEUMDCcurwNA==" saltValue="t3zYNUJUDTdmjGFelNhf8w==" spinCount="100000" sqref="AL55" name="Range1_38"/>
    <protectedRange algorithmName="SHA-512" hashValue="gd6M1j8R2Vcbfm85n99c1D0xjmQvjBlg34UZhxeJx1NLSFqB74OeW1e3isf5ACnAc8NEYyF7OwgEUMDCcurwNA==" saltValue="t3zYNUJUDTdmjGFelNhf8w==" spinCount="100000" sqref="AL56" name="Range1_39"/>
    <protectedRange algorithmName="SHA-512" hashValue="gd6M1j8R2Vcbfm85n99c1D0xjmQvjBlg34UZhxeJx1NLSFqB74OeW1e3isf5ACnAc8NEYyF7OwgEUMDCcurwNA==" saltValue="t3zYNUJUDTdmjGFelNhf8w==" spinCount="100000" sqref="AL57" name="Range1_40"/>
    <protectedRange algorithmName="SHA-512" hashValue="gd6M1j8R2Vcbfm85n99c1D0xjmQvjBlg34UZhxeJx1NLSFqB74OeW1e3isf5ACnAc8NEYyF7OwgEUMDCcurwNA==" saltValue="t3zYNUJUDTdmjGFelNhf8w==" spinCount="100000" sqref="AL58" name="Range1_41"/>
    <protectedRange algorithmName="SHA-512" hashValue="gd6M1j8R2Vcbfm85n99c1D0xjmQvjBlg34UZhxeJx1NLSFqB74OeW1e3isf5ACnAc8NEYyF7OwgEUMDCcurwNA==" saltValue="t3zYNUJUDTdmjGFelNhf8w==" spinCount="100000" sqref="AL59" name="Range1_42"/>
    <protectedRange algorithmName="SHA-512" hashValue="gd6M1j8R2Vcbfm85n99c1D0xjmQvjBlg34UZhxeJx1NLSFqB74OeW1e3isf5ACnAc8NEYyF7OwgEUMDCcurwNA==" saltValue="t3zYNUJUDTdmjGFelNhf8w==" spinCount="100000" sqref="AL60" name="Range1_43"/>
    <protectedRange algorithmName="SHA-512" hashValue="gd6M1j8R2Vcbfm85n99c1D0xjmQvjBlg34UZhxeJx1NLSFqB74OeW1e3isf5ACnAc8NEYyF7OwgEUMDCcurwNA==" saltValue="t3zYNUJUDTdmjGFelNhf8w==" spinCount="100000" sqref="AL61" name="Range1_44"/>
    <protectedRange algorithmName="SHA-512" hashValue="gd6M1j8R2Vcbfm85n99c1D0xjmQvjBlg34UZhxeJx1NLSFqB74OeW1e3isf5ACnAc8NEYyF7OwgEUMDCcurwNA==" saltValue="t3zYNUJUDTdmjGFelNhf8w==" spinCount="100000" sqref="AL62 AL85:AL113 AL119:AL132 AL137:AL140 AL144:AL145 AL73:AL79" name="Range1_45"/>
    <protectedRange algorithmName="SHA-512" hashValue="gd6M1j8R2Vcbfm85n99c1D0xjmQvjBlg34UZhxeJx1NLSFqB74OeW1e3isf5ACnAc8NEYyF7OwgEUMDCcurwNA==" saltValue="t3zYNUJUDTdmjGFelNhf8w==" spinCount="100000" sqref="AL64" name="Range1_47"/>
    <protectedRange algorithmName="SHA-512" hashValue="gd6M1j8R2Vcbfm85n99c1D0xjmQvjBlg34UZhxeJx1NLSFqB74OeW1e3isf5ACnAc8NEYyF7OwgEUMDCcurwNA==" saltValue="t3zYNUJUDTdmjGFelNhf8w==" spinCount="100000" sqref="AL65" name="Range1_48"/>
    <protectedRange algorithmName="SHA-512" hashValue="gd6M1j8R2Vcbfm85n99c1D0xjmQvjBlg34UZhxeJx1NLSFqB74OeW1e3isf5ACnAc8NEYyF7OwgEUMDCcurwNA==" saltValue="t3zYNUJUDTdmjGFelNhf8w==" spinCount="100000" sqref="AL66" name="Range1_49"/>
    <protectedRange algorithmName="SHA-512" hashValue="gd6M1j8R2Vcbfm85n99c1D0xjmQvjBlg34UZhxeJx1NLSFqB74OeW1e3isf5ACnAc8NEYyF7OwgEUMDCcurwNA==" saltValue="t3zYNUJUDTdmjGFelNhf8w==" spinCount="100000" sqref="AL67" name="Range1_50"/>
    <protectedRange algorithmName="SHA-512" hashValue="gd6M1j8R2Vcbfm85n99c1D0xjmQvjBlg34UZhxeJx1NLSFqB74OeW1e3isf5ACnAc8NEYyF7OwgEUMDCcurwNA==" saltValue="t3zYNUJUDTdmjGFelNhf8w==" spinCount="100000" sqref="AL68" name="Range1_52"/>
    <protectedRange algorithmName="SHA-512" hashValue="gd6M1j8R2Vcbfm85n99c1D0xjmQvjBlg34UZhxeJx1NLSFqB74OeW1e3isf5ACnAc8NEYyF7OwgEUMDCcurwNA==" saltValue="t3zYNUJUDTdmjGFelNhf8w==" spinCount="100000" sqref="AL69" name="Range1_53"/>
    <protectedRange algorithmName="SHA-512" hashValue="gd6M1j8R2Vcbfm85n99c1D0xjmQvjBlg34UZhxeJx1NLSFqB74OeW1e3isf5ACnAc8NEYyF7OwgEUMDCcurwNA==" saltValue="t3zYNUJUDTdmjGFelNhf8w==" spinCount="100000" sqref="AL70" name="Range1_54"/>
    <protectedRange algorithmName="SHA-512" hashValue="gd6M1j8R2Vcbfm85n99c1D0xjmQvjBlg34UZhxeJx1NLSFqB74OeW1e3isf5ACnAc8NEYyF7OwgEUMDCcurwNA==" saltValue="t3zYNUJUDTdmjGFelNhf8w==" spinCount="100000" sqref="AL71" name="Range1_55"/>
    <protectedRange algorithmName="SHA-512" hashValue="gd6M1j8R2Vcbfm85n99c1D0xjmQvjBlg34UZhxeJx1NLSFqB74OeW1e3isf5ACnAc8NEYyF7OwgEUMDCcurwNA==" saltValue="t3zYNUJUDTdmjGFelNhf8w==" spinCount="100000" sqref="AL72" name="Range1_57"/>
    <protectedRange algorithmName="SHA-512" hashValue="gd6M1j8R2Vcbfm85n99c1D0xjmQvjBlg34UZhxeJx1NLSFqB74OeW1e3isf5ACnAc8NEYyF7OwgEUMDCcurwNA==" saltValue="t3zYNUJUDTdmjGFelNhf8w==" spinCount="100000" sqref="AL63" name="Range1_58"/>
    <protectedRange algorithmName="SHA-512" hashValue="gd6M1j8R2Vcbfm85n99c1D0xjmQvjBlg34UZhxeJx1NLSFqB74OeW1e3isf5ACnAc8NEYyF7OwgEUMDCcurwNA==" saltValue="t3zYNUJUDTdmjGFelNhf8w==" spinCount="100000" sqref="A79:B79" name="Range1_61"/>
    <protectedRange algorithmName="SHA-512" hashValue="gd6M1j8R2Vcbfm85n99c1D0xjmQvjBlg34UZhxeJx1NLSFqB74OeW1e3isf5ACnAc8NEYyF7OwgEUMDCcurwNA==" saltValue="t3zYNUJUDTdmjGFelNhf8w==" spinCount="100000" sqref="C79:D79" name="Range1_62"/>
    <protectedRange algorithmName="SHA-512" hashValue="gd6M1j8R2Vcbfm85n99c1D0xjmQvjBlg34UZhxeJx1NLSFqB74OeW1e3isf5ACnAc8NEYyF7OwgEUMDCcurwNA==" saltValue="t3zYNUJUDTdmjGFelNhf8w==" spinCount="100000" sqref="A107" name="Range1_63"/>
    <protectedRange algorithmName="SHA-512" hashValue="gd6M1j8R2Vcbfm85n99c1D0xjmQvjBlg34UZhxeJx1NLSFqB74OeW1e3isf5ACnAc8NEYyF7OwgEUMDCcurwNA==" saltValue="t3zYNUJUDTdmjGFelNhf8w==" spinCount="100000" sqref="A86:B86" name="Range1_64"/>
    <protectedRange algorithmName="SHA-512" hashValue="gd6M1j8R2Vcbfm85n99c1D0xjmQvjBlg34UZhxeJx1NLSFqB74OeW1e3isf5ACnAc8NEYyF7OwgEUMDCcurwNA==" saltValue="t3zYNUJUDTdmjGFelNhf8w==" spinCount="100000" sqref="C86:D86" name="Range1_65"/>
    <protectedRange algorithmName="SHA-512" hashValue="gd6M1j8R2Vcbfm85n99c1D0xjmQvjBlg34UZhxeJx1NLSFqB74OeW1e3isf5ACnAc8NEYyF7OwgEUMDCcurwNA==" saltValue="t3zYNUJUDTdmjGFelNhf8w==" spinCount="100000" sqref="A140:B140" name="Range1_66"/>
    <protectedRange algorithmName="SHA-512" hashValue="gd6M1j8R2Vcbfm85n99c1D0xjmQvjBlg34UZhxeJx1NLSFqB74OeW1e3isf5ACnAc8NEYyF7OwgEUMDCcurwNA==" saltValue="t3zYNUJUDTdmjGFelNhf8w==" spinCount="100000" sqref="C140:D140" name="Range1_67"/>
    <protectedRange algorithmName="SHA-512" hashValue="gd6M1j8R2Vcbfm85n99c1D0xjmQvjBlg34UZhxeJx1NLSFqB74OeW1e3isf5ACnAc8NEYyF7OwgEUMDCcurwNA==" saltValue="t3zYNUJUDTdmjGFelNhf8w==" spinCount="100000" sqref="A66:B66" name="Range1_68"/>
    <protectedRange algorithmName="SHA-512" hashValue="gd6M1j8R2Vcbfm85n99c1D0xjmQvjBlg34UZhxeJx1NLSFqB74OeW1e3isf5ACnAc8NEYyF7OwgEUMDCcurwNA==" saltValue="t3zYNUJUDTdmjGFelNhf8w==" spinCount="100000" sqref="C66:D66" name="Range1_69"/>
  </protectedRanges>
  <sortState xmlns:xlrd2="http://schemas.microsoft.com/office/spreadsheetml/2017/richdata2" ref="A7:AK20">
    <sortCondition ref="A7:A20"/>
  </sortState>
  <mergeCells count="49">
    <mergeCell ref="AF4:AJ4"/>
    <mergeCell ref="AF23:AJ23"/>
    <mergeCell ref="AF52:AJ52"/>
    <mergeCell ref="AF41:AJ41"/>
    <mergeCell ref="AF83:AJ83"/>
    <mergeCell ref="T117:X117"/>
    <mergeCell ref="Z117:AD117"/>
    <mergeCell ref="T135:X135"/>
    <mergeCell ref="Z135:AD135"/>
    <mergeCell ref="AF117:AJ117"/>
    <mergeCell ref="AF135:AJ135"/>
    <mergeCell ref="H41:L41"/>
    <mergeCell ref="N41:R41"/>
    <mergeCell ref="T41:X41"/>
    <mergeCell ref="Z41:AD41"/>
    <mergeCell ref="T83:X83"/>
    <mergeCell ref="Z83:AD83"/>
    <mergeCell ref="A3:E3"/>
    <mergeCell ref="A5:E5"/>
    <mergeCell ref="A24:E24"/>
    <mergeCell ref="Z23:AD23"/>
    <mergeCell ref="T23:W23"/>
    <mergeCell ref="H4:L4"/>
    <mergeCell ref="T4:X4"/>
    <mergeCell ref="Z4:AD4"/>
    <mergeCell ref="N4:R4"/>
    <mergeCell ref="H23:L23"/>
    <mergeCell ref="N23:R23"/>
    <mergeCell ref="AF142:AJ142"/>
    <mergeCell ref="A42:E42"/>
    <mergeCell ref="A53:E53"/>
    <mergeCell ref="A84:E84"/>
    <mergeCell ref="A118:E118"/>
    <mergeCell ref="A136:E136"/>
    <mergeCell ref="H83:L83"/>
    <mergeCell ref="N83:R83"/>
    <mergeCell ref="H117:L117"/>
    <mergeCell ref="N117:R117"/>
    <mergeCell ref="H135:L135"/>
    <mergeCell ref="N135:R135"/>
    <mergeCell ref="T52:X52"/>
    <mergeCell ref="Z52:AD52"/>
    <mergeCell ref="H52:L52"/>
    <mergeCell ref="N52:R52"/>
    <mergeCell ref="A143:E143"/>
    <mergeCell ref="H142:L142"/>
    <mergeCell ref="N142:R142"/>
    <mergeCell ref="T142:X142"/>
    <mergeCell ref="Z142:AD142"/>
  </mergeCells>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70A6-76EE-264B-9DF9-BB0EFF77F7C6}">
  <dimension ref="A3:BH154"/>
  <sheetViews>
    <sheetView zoomScale="70" zoomScaleNormal="70" workbookViewId="0">
      <pane xSplit="7" ySplit="6" topLeftCell="AQ7" activePane="bottomRight" state="frozen"/>
      <selection pane="topRight" activeCell="H1" sqref="H1"/>
      <selection pane="bottomLeft" activeCell="A7" sqref="A7"/>
      <selection pane="bottomRight" activeCell="P128" sqref="P128:W128"/>
    </sheetView>
  </sheetViews>
  <sheetFormatPr defaultColWidth="11.25" defaultRowHeight="15.75" outlineLevelCol="1"/>
  <cols>
    <col min="1" max="1" width="15.25" customWidth="1"/>
    <col min="2" max="2" width="15.75" customWidth="1"/>
    <col min="3" max="3" width="26.5" customWidth="1"/>
    <col min="4" max="4" width="30.625" bestFit="1" customWidth="1"/>
    <col min="5" max="5" width="14.75" hidden="1" customWidth="1"/>
    <col min="6" max="7" width="12.75" customWidth="1"/>
    <col min="8" max="8" width="15.875" style="9" hidden="1" customWidth="1" outlineLevel="1"/>
    <col min="9" max="9" width="16.25" hidden="1" customWidth="1" outlineLevel="1"/>
    <col min="10" max="10" width="9.375" style="45" customWidth="1" collapsed="1"/>
    <col min="11" max="11" width="9.375" customWidth="1"/>
    <col min="12" max="12" width="9.375" style="9" customWidth="1" outlineLevel="1"/>
    <col min="13" max="13" width="9.375" customWidth="1" outlineLevel="1"/>
    <col min="14" max="15" width="9.375" customWidth="1"/>
    <col min="16" max="17" width="9.375" customWidth="1" outlineLevel="1"/>
    <col min="18" max="19" width="9.375" customWidth="1"/>
    <col min="20" max="21" width="9.375" customWidth="1" outlineLevel="1"/>
    <col min="22" max="23" width="9.375" customWidth="1"/>
    <col min="24" max="24" width="9.375" style="9" customWidth="1" outlineLevel="1"/>
    <col min="25" max="25" width="9.375" customWidth="1" outlineLevel="1"/>
    <col min="26" max="26" width="9.375" style="45" customWidth="1"/>
    <col min="27" max="27" width="9.375" customWidth="1"/>
    <col min="28" max="28" width="9.375" style="9" customWidth="1" outlineLevel="1"/>
    <col min="29" max="29" width="9.375" customWidth="1" outlineLevel="1"/>
    <col min="30" max="31" width="9.375" customWidth="1"/>
    <col min="32" max="32" width="9.375" customWidth="1" outlineLevel="1"/>
    <col min="33" max="33" width="9.375" style="304" customWidth="1" outlineLevel="1"/>
    <col min="34" max="35" width="9.375" customWidth="1"/>
    <col min="36" max="36" width="9.375" customWidth="1" outlineLevel="1"/>
    <col min="37" max="37" width="9.375" style="304" customWidth="1" outlineLevel="1"/>
    <col min="38" max="39" width="9.375" customWidth="1"/>
    <col min="40" max="41" width="11.25" customWidth="1" outlineLevel="1"/>
    <col min="44" max="45" width="11.25" customWidth="1" outlineLevel="1"/>
    <col min="48" max="49" width="11.25" customWidth="1" outlineLevel="1"/>
    <col min="52" max="53" width="11.25" customWidth="1" outlineLevel="1"/>
    <col min="56" max="57" width="0" hidden="1" customWidth="1"/>
  </cols>
  <sheetData>
    <row r="3" spans="1:60" ht="28.5">
      <c r="A3" s="424" t="s">
        <v>328</v>
      </c>
      <c r="B3" s="425"/>
      <c r="C3" s="425"/>
      <c r="D3" s="425"/>
      <c r="E3" s="201"/>
    </row>
    <row r="4" spans="1:60" ht="27" thickBot="1">
      <c r="A4" s="201"/>
      <c r="B4" s="201"/>
      <c r="C4" s="201"/>
      <c r="D4" s="201"/>
      <c r="E4" s="201"/>
    </row>
    <row r="5" spans="1:60" ht="24" thickBot="1">
      <c r="H5" s="418" t="s">
        <v>290</v>
      </c>
      <c r="I5" s="441"/>
      <c r="J5" s="441"/>
      <c r="K5" s="463"/>
      <c r="L5" s="463"/>
      <c r="M5" s="463"/>
      <c r="N5" s="463"/>
      <c r="O5" s="412"/>
      <c r="P5" s="390" t="s">
        <v>329</v>
      </c>
      <c r="Q5" s="391"/>
      <c r="R5" s="391"/>
      <c r="S5" s="391"/>
      <c r="T5" s="391"/>
      <c r="U5" s="391"/>
      <c r="V5" s="391"/>
      <c r="W5" s="392"/>
      <c r="X5" s="402" t="s">
        <v>512</v>
      </c>
      <c r="Y5" s="444"/>
      <c r="Z5" s="444"/>
      <c r="AA5" s="444"/>
      <c r="AB5" s="444"/>
      <c r="AC5" s="444"/>
      <c r="AD5" s="444"/>
      <c r="AE5" s="445"/>
      <c r="AF5" s="410" t="s">
        <v>330</v>
      </c>
      <c r="AG5" s="411"/>
      <c r="AH5" s="411"/>
      <c r="AI5" s="446"/>
      <c r="AJ5" s="446"/>
      <c r="AK5" s="446"/>
      <c r="AL5" s="446"/>
      <c r="AM5" s="447"/>
      <c r="AN5" s="455" t="s">
        <v>293</v>
      </c>
      <c r="AO5" s="456"/>
      <c r="AP5" s="456"/>
      <c r="AQ5" s="457"/>
      <c r="AR5" s="457"/>
      <c r="AS5" s="457"/>
      <c r="AT5" s="457"/>
      <c r="AU5" s="458"/>
      <c r="AV5" s="455" t="s">
        <v>331</v>
      </c>
      <c r="AW5" s="456"/>
      <c r="AX5" s="456"/>
      <c r="AY5" s="457"/>
      <c r="AZ5" s="457"/>
      <c r="BA5" s="457"/>
      <c r="BB5" s="457"/>
      <c r="BC5" s="458"/>
    </row>
    <row r="6" spans="1:60" s="43" customFormat="1" ht="48" thickBot="1">
      <c r="A6" s="422" t="s">
        <v>332</v>
      </c>
      <c r="B6" s="423"/>
      <c r="C6" s="423"/>
      <c r="D6" s="423"/>
      <c r="E6" s="426"/>
      <c r="F6" s="117" t="s">
        <v>9</v>
      </c>
      <c r="G6" s="51" t="s">
        <v>10</v>
      </c>
      <c r="H6" s="46" t="s">
        <v>333</v>
      </c>
      <c r="I6" s="52" t="s">
        <v>334</v>
      </c>
      <c r="J6" s="92" t="s">
        <v>15</v>
      </c>
      <c r="K6" s="51" t="s">
        <v>16</v>
      </c>
      <c r="L6" s="46" t="s">
        <v>333</v>
      </c>
      <c r="M6" s="52" t="s">
        <v>334</v>
      </c>
      <c r="N6" s="97" t="s">
        <v>15</v>
      </c>
      <c r="O6" s="51" t="s">
        <v>16</v>
      </c>
      <c r="P6" s="46" t="s">
        <v>333</v>
      </c>
      <c r="Q6" s="52" t="s">
        <v>334</v>
      </c>
      <c r="R6" s="97" t="s">
        <v>15</v>
      </c>
      <c r="S6" s="51" t="s">
        <v>16</v>
      </c>
      <c r="T6" s="46" t="s">
        <v>333</v>
      </c>
      <c r="U6" s="52" t="s">
        <v>334</v>
      </c>
      <c r="V6" s="97" t="s">
        <v>15</v>
      </c>
      <c r="W6" s="51" t="s">
        <v>16</v>
      </c>
      <c r="X6" s="46" t="s">
        <v>333</v>
      </c>
      <c r="Y6" s="52" t="s">
        <v>334</v>
      </c>
      <c r="Z6" s="92" t="s">
        <v>15</v>
      </c>
      <c r="AA6" s="65" t="s">
        <v>16</v>
      </c>
      <c r="AB6" s="38" t="s">
        <v>333</v>
      </c>
      <c r="AC6" s="52" t="s">
        <v>334</v>
      </c>
      <c r="AD6" s="97" t="s">
        <v>15</v>
      </c>
      <c r="AE6" s="51" t="s">
        <v>16</v>
      </c>
      <c r="AF6" s="46" t="s">
        <v>333</v>
      </c>
      <c r="AG6" s="324" t="s">
        <v>334</v>
      </c>
      <c r="AH6" s="97" t="s">
        <v>15</v>
      </c>
      <c r="AI6" s="51" t="s">
        <v>16</v>
      </c>
      <c r="AJ6" s="46" t="s">
        <v>333</v>
      </c>
      <c r="AK6" s="324" t="s">
        <v>334</v>
      </c>
      <c r="AL6" s="97" t="s">
        <v>15</v>
      </c>
      <c r="AM6" s="51" t="s">
        <v>16</v>
      </c>
      <c r="AN6" s="46" t="s">
        <v>333</v>
      </c>
      <c r="AO6" s="52" t="s">
        <v>334</v>
      </c>
      <c r="AP6" s="97" t="s">
        <v>15</v>
      </c>
      <c r="AQ6" s="51" t="s">
        <v>16</v>
      </c>
      <c r="AR6" s="46" t="s">
        <v>333</v>
      </c>
      <c r="AS6" s="52" t="s">
        <v>334</v>
      </c>
      <c r="AT6" s="97" t="s">
        <v>15</v>
      </c>
      <c r="AU6" s="365" t="s">
        <v>16</v>
      </c>
      <c r="AV6" s="38" t="s">
        <v>333</v>
      </c>
      <c r="AW6" s="52" t="s">
        <v>334</v>
      </c>
      <c r="AX6" s="97" t="s">
        <v>15</v>
      </c>
      <c r="AY6" s="51" t="s">
        <v>16</v>
      </c>
      <c r="AZ6" s="46" t="s">
        <v>333</v>
      </c>
      <c r="BA6" s="52" t="s">
        <v>334</v>
      </c>
      <c r="BB6" s="97" t="s">
        <v>15</v>
      </c>
      <c r="BC6" s="51" t="s">
        <v>16</v>
      </c>
      <c r="BD6" s="43" t="s">
        <v>507</v>
      </c>
    </row>
    <row r="7" spans="1:60">
      <c r="A7" s="68" t="s">
        <v>22</v>
      </c>
      <c r="B7" s="68" t="s">
        <v>23</v>
      </c>
      <c r="C7" s="69" t="s">
        <v>24</v>
      </c>
      <c r="D7" s="68" t="s">
        <v>25</v>
      </c>
      <c r="E7" s="69" t="s">
        <v>26</v>
      </c>
      <c r="F7" s="88"/>
      <c r="G7" s="78"/>
      <c r="H7" s="75"/>
      <c r="I7" s="11"/>
      <c r="J7" s="107"/>
      <c r="K7" s="78"/>
      <c r="L7" s="76"/>
      <c r="M7" s="11"/>
      <c r="N7" s="88"/>
      <c r="O7" s="78"/>
      <c r="P7" s="19"/>
      <c r="Q7" s="11"/>
      <c r="R7" s="88"/>
      <c r="S7" s="78"/>
      <c r="T7" s="19"/>
      <c r="U7" s="11"/>
      <c r="V7" s="88"/>
      <c r="W7" s="78"/>
      <c r="X7" s="75"/>
      <c r="Y7" s="11"/>
      <c r="Z7" s="107"/>
      <c r="AA7" s="345"/>
      <c r="AB7" s="361"/>
      <c r="AC7" s="11"/>
      <c r="AD7" s="88"/>
      <c r="AE7" s="78"/>
      <c r="AF7" s="19"/>
      <c r="AG7" s="323"/>
      <c r="AH7" s="88"/>
      <c r="AI7" s="78"/>
      <c r="AJ7" s="19"/>
      <c r="AK7" s="323"/>
      <c r="AL7" s="88"/>
      <c r="AM7" s="78"/>
      <c r="AN7" s="19"/>
      <c r="AO7" s="11"/>
      <c r="AP7" s="88"/>
      <c r="AQ7" s="78"/>
      <c r="AR7" s="19"/>
      <c r="AS7" s="11"/>
      <c r="AT7" s="88"/>
      <c r="AU7" s="366"/>
      <c r="AV7" s="19"/>
      <c r="AW7" s="11"/>
      <c r="AX7" s="88"/>
      <c r="AY7" s="78"/>
      <c r="AZ7" s="19"/>
      <c r="BA7" s="11"/>
      <c r="BB7" s="88"/>
      <c r="BC7" s="78"/>
      <c r="BD7" s="300" t="s">
        <v>492</v>
      </c>
      <c r="BE7" t="str">
        <f>A7&amp;B7&amp;D7&amp;BD7&amp;$BD$6</f>
        <v>Rider First NameRider Last NameName of Pony/HorsePrimary &lt;7Prelim</v>
      </c>
    </row>
    <row r="8" spans="1:60">
      <c r="A8" s="221" t="s">
        <v>299</v>
      </c>
      <c r="B8" s="221" t="s">
        <v>300</v>
      </c>
      <c r="C8" s="226" t="s">
        <v>42</v>
      </c>
      <c r="D8" s="221" t="s">
        <v>301</v>
      </c>
      <c r="E8" s="5">
        <v>6</v>
      </c>
      <c r="F8" s="88">
        <f>J8+R8+V8+Z8+AD8+AH8+AL8+AP8+AT8</f>
        <v>0</v>
      </c>
      <c r="G8" s="78"/>
      <c r="H8" s="75">
        <v>1.1000000000000001</v>
      </c>
      <c r="I8" s="11"/>
      <c r="J8" s="107"/>
      <c r="K8" s="78"/>
      <c r="L8" s="75">
        <v>1.2</v>
      </c>
      <c r="M8" s="242">
        <v>58.929000000000002</v>
      </c>
      <c r="N8" s="234" t="s">
        <v>31</v>
      </c>
      <c r="O8" s="162"/>
      <c r="P8" s="19">
        <v>1.1000000000000001</v>
      </c>
      <c r="Q8" s="11"/>
      <c r="R8" s="88"/>
      <c r="S8" s="78"/>
      <c r="T8" s="19">
        <v>1.2</v>
      </c>
      <c r="U8" s="11"/>
      <c r="V8" s="88"/>
      <c r="W8" s="78"/>
      <c r="X8" s="75">
        <v>1.1000000000000001</v>
      </c>
      <c r="Y8" s="11"/>
      <c r="Z8" s="107"/>
      <c r="AA8" s="345"/>
      <c r="AB8" s="361">
        <v>1.2</v>
      </c>
      <c r="AC8" s="11"/>
      <c r="AD8" s="88"/>
      <c r="AE8" s="162"/>
      <c r="AF8" s="76">
        <v>1.2</v>
      </c>
      <c r="AG8" s="323">
        <v>0</v>
      </c>
      <c r="AH8" s="88">
        <v>0</v>
      </c>
      <c r="AI8" s="78"/>
      <c r="AJ8" s="19">
        <v>1.3</v>
      </c>
      <c r="AK8" s="323">
        <v>0</v>
      </c>
      <c r="AL8" s="88">
        <v>0</v>
      </c>
      <c r="AM8" s="78"/>
      <c r="AN8" s="76">
        <v>1.2</v>
      </c>
      <c r="AO8" s="11"/>
      <c r="AP8" s="88"/>
      <c r="AQ8" s="78"/>
      <c r="AR8" s="76">
        <v>1.3</v>
      </c>
      <c r="AS8" s="11"/>
      <c r="AT8" s="88"/>
      <c r="AU8" s="78"/>
      <c r="AV8" s="19">
        <v>1.2</v>
      </c>
      <c r="AW8" s="11"/>
      <c r="AX8" s="88"/>
      <c r="AY8" s="78"/>
      <c r="AZ8" s="19">
        <v>1.3</v>
      </c>
      <c r="BA8" s="11"/>
      <c r="BB8" s="88"/>
      <c r="BC8" s="78"/>
      <c r="BD8" s="300" t="s">
        <v>492</v>
      </c>
      <c r="BE8" t="str">
        <f t="shared" ref="BE8:BE22" si="0">A8&amp;B8&amp;D8&amp;BD8&amp;$BD$6</f>
        <v>HallieBradleyDalpura AllurePrimary &lt;7Prelim</v>
      </c>
    </row>
    <row r="9" spans="1:60">
      <c r="A9" s="3" t="s">
        <v>174</v>
      </c>
      <c r="B9" s="3" t="s">
        <v>175</v>
      </c>
      <c r="C9" s="3" t="s">
        <v>176</v>
      </c>
      <c r="D9" s="3" t="s">
        <v>177</v>
      </c>
      <c r="E9" s="217">
        <v>5</v>
      </c>
      <c r="F9" s="88">
        <f t="shared" ref="F9:F15" si="1">J9+N9+R9+V9+Z9+AD9+AH9+AL9+AP9+AT9</f>
        <v>0</v>
      </c>
      <c r="G9" s="78"/>
      <c r="H9" s="75">
        <v>1.1000000000000001</v>
      </c>
      <c r="I9" s="11"/>
      <c r="J9" s="107"/>
      <c r="K9" s="78"/>
      <c r="L9" s="75">
        <v>1.2</v>
      </c>
      <c r="M9" s="11"/>
      <c r="N9" s="88"/>
      <c r="O9" s="78"/>
      <c r="P9" s="19">
        <v>1.1000000000000001</v>
      </c>
      <c r="Q9" s="11"/>
      <c r="R9" s="88"/>
      <c r="S9" s="78"/>
      <c r="T9" s="19">
        <v>1.2</v>
      </c>
      <c r="U9" s="11"/>
      <c r="V9" s="88"/>
      <c r="W9" s="78"/>
      <c r="X9" s="75">
        <v>1.1000000000000001</v>
      </c>
      <c r="Y9" s="11"/>
      <c r="Z9" s="107"/>
      <c r="AA9" s="345"/>
      <c r="AB9" s="361">
        <v>1.2</v>
      </c>
      <c r="AC9" s="11"/>
      <c r="AD9" s="88"/>
      <c r="AE9" s="78"/>
      <c r="AF9" s="76">
        <v>1.2</v>
      </c>
      <c r="AG9" s="323">
        <v>0</v>
      </c>
      <c r="AH9" s="88">
        <v>0</v>
      </c>
      <c r="AI9" s="78"/>
      <c r="AJ9" s="19">
        <v>1.3</v>
      </c>
      <c r="AK9" s="323">
        <v>0</v>
      </c>
      <c r="AL9" s="88">
        <v>0</v>
      </c>
      <c r="AM9" s="78" t="s">
        <v>493</v>
      </c>
      <c r="AN9" s="76">
        <v>1.2</v>
      </c>
      <c r="AO9" s="11"/>
      <c r="AP9" s="88"/>
      <c r="AQ9" s="78"/>
      <c r="AR9" s="76">
        <v>1.3</v>
      </c>
      <c r="AS9" s="11"/>
      <c r="AT9" s="88"/>
      <c r="AU9" s="78"/>
      <c r="AV9" s="19">
        <v>1.2</v>
      </c>
      <c r="AW9" s="11"/>
      <c r="AX9" s="88"/>
      <c r="AY9" s="78"/>
      <c r="AZ9" s="19">
        <v>1.3</v>
      </c>
      <c r="BA9" s="11"/>
      <c r="BB9" s="88"/>
      <c r="BC9" s="78"/>
      <c r="BD9" s="300" t="s">
        <v>492</v>
      </c>
      <c r="BE9" t="str">
        <f t="shared" si="0"/>
        <v>LucyRhodesSCAYSBROOK PARK ROYAL ENCOREPrimary &lt;7Prelim</v>
      </c>
      <c r="BG9">
        <v>25</v>
      </c>
      <c r="BH9">
        <v>20</v>
      </c>
    </row>
    <row r="10" spans="1:60" ht="17.45" customHeight="1">
      <c r="A10" s="3" t="s">
        <v>302</v>
      </c>
      <c r="B10" s="3" t="s">
        <v>303</v>
      </c>
      <c r="C10" s="202" t="s">
        <v>304</v>
      </c>
      <c r="D10" s="202" t="s">
        <v>305</v>
      </c>
      <c r="E10" s="205">
        <v>4</v>
      </c>
      <c r="F10" s="88">
        <f t="shared" si="1"/>
        <v>123</v>
      </c>
      <c r="G10" s="78">
        <f>SUM(K10,AI10)</f>
        <v>40</v>
      </c>
      <c r="H10" s="75">
        <v>1.1000000000000001</v>
      </c>
      <c r="I10" s="11">
        <v>66.2</v>
      </c>
      <c r="J10" s="107">
        <v>20</v>
      </c>
      <c r="K10" s="78">
        <v>20</v>
      </c>
      <c r="L10" s="75">
        <v>1.2</v>
      </c>
      <c r="M10" s="11">
        <v>65</v>
      </c>
      <c r="N10" s="88">
        <v>18</v>
      </c>
      <c r="O10" s="78">
        <v>18</v>
      </c>
      <c r="P10" s="19">
        <v>1.1000000000000001</v>
      </c>
      <c r="Q10" s="11">
        <v>68</v>
      </c>
      <c r="R10" s="88">
        <v>19</v>
      </c>
      <c r="S10" s="78"/>
      <c r="T10" s="19">
        <v>1.2</v>
      </c>
      <c r="U10" s="11">
        <v>69.731999999999999</v>
      </c>
      <c r="V10" s="88">
        <v>20</v>
      </c>
      <c r="W10" s="78">
        <f>V10</f>
        <v>20</v>
      </c>
      <c r="X10" s="75">
        <v>1.1000000000000001</v>
      </c>
      <c r="Y10" s="11"/>
      <c r="Z10" s="107"/>
      <c r="AA10" s="345"/>
      <c r="AB10" s="361">
        <v>1.2</v>
      </c>
      <c r="AC10" s="11"/>
      <c r="AD10" s="88"/>
      <c r="AE10" s="78"/>
      <c r="AF10" s="76">
        <v>1.2</v>
      </c>
      <c r="AG10" s="323">
        <v>0.67678571428571432</v>
      </c>
      <c r="AH10" s="88">
        <v>25</v>
      </c>
      <c r="AI10" s="78">
        <v>20</v>
      </c>
      <c r="AJ10" s="19">
        <v>1.3</v>
      </c>
      <c r="AK10" s="323">
        <v>0.64999999999999991</v>
      </c>
      <c r="AL10" s="88">
        <v>21</v>
      </c>
      <c r="AM10" s="78">
        <v>16</v>
      </c>
      <c r="AN10" s="76">
        <v>1.2</v>
      </c>
      <c r="AO10" s="11"/>
      <c r="AP10" s="88"/>
      <c r="AQ10" s="78"/>
      <c r="AR10" s="76">
        <v>1.3</v>
      </c>
      <c r="AS10" s="11"/>
      <c r="AT10" s="88"/>
      <c r="AU10" s="78"/>
      <c r="AV10" s="19">
        <v>1.2</v>
      </c>
      <c r="AW10" s="11"/>
      <c r="AX10" s="88"/>
      <c r="AY10" s="78"/>
      <c r="AZ10" s="19">
        <v>1.3</v>
      </c>
      <c r="BA10" s="11"/>
      <c r="BB10" s="88"/>
      <c r="BC10" s="78"/>
      <c r="BD10" s="300" t="s">
        <v>492</v>
      </c>
      <c r="BE10" t="str">
        <f t="shared" si="0"/>
        <v>AnnaBlissBamborough LiberachePrimary &lt;7Prelim</v>
      </c>
      <c r="BG10">
        <v>24</v>
      </c>
      <c r="BH10">
        <v>19</v>
      </c>
    </row>
    <row r="11" spans="1:60">
      <c r="A11" s="3" t="s">
        <v>48</v>
      </c>
      <c r="B11" s="3" t="s">
        <v>163</v>
      </c>
      <c r="C11" s="202" t="s">
        <v>164</v>
      </c>
      <c r="D11" s="202" t="s">
        <v>506</v>
      </c>
      <c r="E11" s="216">
        <v>6</v>
      </c>
      <c r="F11" s="88">
        <f t="shared" si="1"/>
        <v>119</v>
      </c>
      <c r="G11" s="78">
        <f>SUM(AE11,AM11)</f>
        <v>40</v>
      </c>
      <c r="H11" s="75">
        <v>1.1000000000000001</v>
      </c>
      <c r="I11" s="11">
        <v>64.8</v>
      </c>
      <c r="J11" s="107">
        <v>18</v>
      </c>
      <c r="K11" s="78">
        <v>18</v>
      </c>
      <c r="L11" s="75">
        <v>1.2</v>
      </c>
      <c r="M11" s="11">
        <v>61.795999999999999</v>
      </c>
      <c r="N11" s="88">
        <v>17</v>
      </c>
      <c r="O11" s="78">
        <v>17</v>
      </c>
      <c r="P11" s="19">
        <v>1.1000000000000001</v>
      </c>
      <c r="Q11" s="11"/>
      <c r="R11" s="88"/>
      <c r="S11" s="78"/>
      <c r="T11" s="19">
        <v>1.2</v>
      </c>
      <c r="U11" s="11"/>
      <c r="V11" s="88"/>
      <c r="W11" s="78"/>
      <c r="X11" s="75">
        <v>1.1000000000000001</v>
      </c>
      <c r="Y11" s="11"/>
      <c r="Z11" s="107"/>
      <c r="AA11" s="345"/>
      <c r="AB11" s="361">
        <v>1.2</v>
      </c>
      <c r="AC11" s="11">
        <v>73.929000000000002</v>
      </c>
      <c r="AD11" s="88">
        <v>20</v>
      </c>
      <c r="AE11" s="78">
        <v>20</v>
      </c>
      <c r="AF11" s="76">
        <v>1.2</v>
      </c>
      <c r="AG11" s="323">
        <v>0.66428571428571426</v>
      </c>
      <c r="AH11" s="88">
        <v>22</v>
      </c>
      <c r="AI11" s="78">
        <v>17</v>
      </c>
      <c r="AJ11" s="19">
        <v>1.3</v>
      </c>
      <c r="AK11" s="323">
        <v>0.69584999999999997</v>
      </c>
      <c r="AL11" s="88">
        <v>25</v>
      </c>
      <c r="AM11" s="78">
        <v>20</v>
      </c>
      <c r="AN11" s="76">
        <v>1.2</v>
      </c>
      <c r="AO11" s="11">
        <v>68.040000000000006</v>
      </c>
      <c r="AP11" s="88">
        <v>17</v>
      </c>
      <c r="AQ11" s="78">
        <v>17</v>
      </c>
      <c r="AR11" s="76">
        <v>1.3</v>
      </c>
      <c r="AS11" s="11"/>
      <c r="AT11" s="88"/>
      <c r="AU11" s="78"/>
      <c r="AV11" s="19">
        <v>1.2</v>
      </c>
      <c r="AW11" s="11"/>
      <c r="AX11" s="88"/>
      <c r="AY11" s="78"/>
      <c r="AZ11" s="19">
        <v>1.3</v>
      </c>
      <c r="BA11" s="11"/>
      <c r="BB11" s="88"/>
      <c r="BC11" s="78"/>
      <c r="BD11" s="300" t="s">
        <v>492</v>
      </c>
      <c r="BE11" t="str">
        <f t="shared" si="0"/>
        <v>ZaraLallyTRUSSANA BPrimary &lt;7Prelim</v>
      </c>
      <c r="BG11">
        <v>23</v>
      </c>
      <c r="BH11">
        <v>18</v>
      </c>
    </row>
    <row r="12" spans="1:60">
      <c r="A12" s="3" t="s">
        <v>48</v>
      </c>
      <c r="B12" s="3" t="s">
        <v>163</v>
      </c>
      <c r="C12" s="202" t="s">
        <v>164</v>
      </c>
      <c r="D12" s="202" t="s">
        <v>172</v>
      </c>
      <c r="E12" s="216">
        <v>6</v>
      </c>
      <c r="F12" s="88">
        <f t="shared" si="1"/>
        <v>121</v>
      </c>
      <c r="G12" s="78">
        <f>SUM(AI12,AQ12)</f>
        <v>39</v>
      </c>
      <c r="H12" s="75">
        <v>1.1000000000000001</v>
      </c>
      <c r="I12" s="11">
        <v>65.8</v>
      </c>
      <c r="J12" s="107">
        <v>19</v>
      </c>
      <c r="K12" s="78">
        <v>19</v>
      </c>
      <c r="L12" s="75">
        <v>1.2</v>
      </c>
      <c r="M12" s="11"/>
      <c r="N12" s="88"/>
      <c r="O12" s="78"/>
      <c r="P12" s="19">
        <v>1.1000000000000001</v>
      </c>
      <c r="Q12" s="11"/>
      <c r="R12" s="88"/>
      <c r="S12" s="78"/>
      <c r="T12" s="19">
        <v>1.2</v>
      </c>
      <c r="U12" s="11"/>
      <c r="V12" s="88"/>
      <c r="W12" s="78"/>
      <c r="X12" s="75">
        <v>1.1000000000000001</v>
      </c>
      <c r="Y12" s="11"/>
      <c r="Z12" s="107"/>
      <c r="AA12" s="345"/>
      <c r="AB12" s="361">
        <v>1.2</v>
      </c>
      <c r="AC12" s="11">
        <v>72.143000000000001</v>
      </c>
      <c r="AD12" s="88">
        <v>19</v>
      </c>
      <c r="AE12" s="78">
        <v>19</v>
      </c>
      <c r="AF12" s="76">
        <v>1.2</v>
      </c>
      <c r="AG12" s="323">
        <v>0.66874999999999996</v>
      </c>
      <c r="AH12" s="88">
        <v>24</v>
      </c>
      <c r="AI12" s="78">
        <v>19</v>
      </c>
      <c r="AJ12" s="19">
        <v>1.3</v>
      </c>
      <c r="AK12" s="323">
        <v>0.64795000000000003</v>
      </c>
      <c r="AL12" s="88">
        <v>20</v>
      </c>
      <c r="AM12" s="78">
        <v>15</v>
      </c>
      <c r="AN12" s="76">
        <v>1.2</v>
      </c>
      <c r="AO12" s="11">
        <v>74.11</v>
      </c>
      <c r="AP12" s="88">
        <v>20</v>
      </c>
      <c r="AQ12" s="78">
        <v>20</v>
      </c>
      <c r="AR12" s="76">
        <v>1.3</v>
      </c>
      <c r="AS12" s="11">
        <v>75.42</v>
      </c>
      <c r="AT12" s="88">
        <v>19</v>
      </c>
      <c r="AU12" s="78">
        <v>19</v>
      </c>
      <c r="AV12" s="19">
        <v>1.2</v>
      </c>
      <c r="AW12" s="11"/>
      <c r="AX12" s="88"/>
      <c r="AY12" s="78"/>
      <c r="AZ12" s="19">
        <v>1.3</v>
      </c>
      <c r="BA12" s="11"/>
      <c r="BB12" s="88"/>
      <c r="BC12" s="78"/>
      <c r="BD12" s="300" t="s">
        <v>492</v>
      </c>
      <c r="BE12" t="str">
        <f t="shared" si="0"/>
        <v>ZaraLallyJAZAIL MARASIPrimary &lt;7Prelim</v>
      </c>
      <c r="BG12">
        <v>22</v>
      </c>
      <c r="BH12">
        <v>17</v>
      </c>
    </row>
    <row r="13" spans="1:60">
      <c r="A13" s="3" t="s">
        <v>44</v>
      </c>
      <c r="B13" s="3" t="s">
        <v>45</v>
      </c>
      <c r="C13" s="202" t="s">
        <v>46</v>
      </c>
      <c r="D13" s="202" t="s">
        <v>47</v>
      </c>
      <c r="E13" s="205">
        <v>5</v>
      </c>
      <c r="F13" s="88">
        <f t="shared" si="1"/>
        <v>0</v>
      </c>
      <c r="G13" s="78"/>
      <c r="H13" s="75">
        <v>1.1000000000000001</v>
      </c>
      <c r="I13" s="11"/>
      <c r="J13" s="107"/>
      <c r="K13" s="78"/>
      <c r="L13" s="75">
        <v>1.2</v>
      </c>
      <c r="M13" s="11"/>
      <c r="N13" s="88"/>
      <c r="O13" s="78"/>
      <c r="P13" s="19">
        <v>1.1000000000000001</v>
      </c>
      <c r="Q13" s="11"/>
      <c r="R13" s="88"/>
      <c r="S13" s="78"/>
      <c r="T13" s="19">
        <v>1.2</v>
      </c>
      <c r="U13" s="11"/>
      <c r="V13" s="88"/>
      <c r="W13" s="78"/>
      <c r="X13" s="75">
        <v>1.1000000000000001</v>
      </c>
      <c r="Y13" s="11"/>
      <c r="Z13" s="107"/>
      <c r="AA13" s="345"/>
      <c r="AB13" s="361">
        <v>1.2</v>
      </c>
      <c r="AC13" s="11"/>
      <c r="AD13" s="88"/>
      <c r="AE13" s="78"/>
      <c r="AF13" s="76">
        <v>1.2</v>
      </c>
      <c r="AG13" s="323">
        <v>0</v>
      </c>
      <c r="AH13" s="88">
        <v>0</v>
      </c>
      <c r="AI13" s="78" t="s">
        <v>493</v>
      </c>
      <c r="AJ13" s="19">
        <v>1.3</v>
      </c>
      <c r="AK13" s="323">
        <v>0</v>
      </c>
      <c r="AL13" s="88">
        <v>0</v>
      </c>
      <c r="AM13" s="78" t="s">
        <v>493</v>
      </c>
      <c r="AN13" s="76">
        <v>1.2</v>
      </c>
      <c r="AO13" s="11"/>
      <c r="AP13" s="88"/>
      <c r="AQ13" s="78"/>
      <c r="AR13" s="76">
        <v>1.3</v>
      </c>
      <c r="AS13" s="11"/>
      <c r="AT13" s="88"/>
      <c r="AU13" s="78"/>
      <c r="AV13" s="19">
        <v>1.2</v>
      </c>
      <c r="AW13" s="11"/>
      <c r="AX13" s="88"/>
      <c r="AY13" s="78"/>
      <c r="AZ13" s="19">
        <v>1.3</v>
      </c>
      <c r="BA13" s="11"/>
      <c r="BB13" s="88"/>
      <c r="BC13" s="78"/>
      <c r="BD13" s="300" t="s">
        <v>492</v>
      </c>
      <c r="BE13" t="str">
        <f t="shared" si="0"/>
        <v>OliviaSpencerNillalook GuardianPrimary &lt;7Prelim</v>
      </c>
      <c r="BG13">
        <v>21</v>
      </c>
      <c r="BH13">
        <v>16</v>
      </c>
    </row>
    <row r="14" spans="1:60">
      <c r="A14" s="3" t="s">
        <v>40</v>
      </c>
      <c r="B14" s="3" t="s">
        <v>41</v>
      </c>
      <c r="C14" s="202" t="s">
        <v>42</v>
      </c>
      <c r="D14" s="202" t="s">
        <v>43</v>
      </c>
      <c r="E14" s="205">
        <v>6</v>
      </c>
      <c r="F14" s="88">
        <f t="shared" si="1"/>
        <v>86</v>
      </c>
      <c r="G14" s="78">
        <f>SUM(S14,AU14)</f>
        <v>40</v>
      </c>
      <c r="H14" s="75">
        <v>1.1000000000000001</v>
      </c>
      <c r="I14" s="11"/>
      <c r="J14" s="107"/>
      <c r="K14" s="78"/>
      <c r="L14" s="75">
        <v>1.2</v>
      </c>
      <c r="M14" s="11"/>
      <c r="N14" s="88"/>
      <c r="O14" s="78"/>
      <c r="P14" s="19">
        <v>1.1000000000000001</v>
      </c>
      <c r="Q14" s="11">
        <v>72</v>
      </c>
      <c r="R14" s="88">
        <v>20</v>
      </c>
      <c r="S14" s="78">
        <v>20</v>
      </c>
      <c r="T14" s="19">
        <v>1.2</v>
      </c>
      <c r="U14" s="11"/>
      <c r="V14" s="88"/>
      <c r="W14" s="78"/>
      <c r="X14" s="75">
        <v>1.1000000000000001</v>
      </c>
      <c r="Y14" s="11"/>
      <c r="Z14" s="107"/>
      <c r="AA14" s="345"/>
      <c r="AB14" s="361">
        <v>1.2</v>
      </c>
      <c r="AC14" s="11"/>
      <c r="AD14" s="88"/>
      <c r="AE14" s="78"/>
      <c r="AF14" s="76">
        <v>1.2</v>
      </c>
      <c r="AG14" s="323">
        <v>0.66696428571428568</v>
      </c>
      <c r="AH14" s="88">
        <v>23</v>
      </c>
      <c r="AI14" s="78">
        <v>18</v>
      </c>
      <c r="AJ14" s="19">
        <v>1.3</v>
      </c>
      <c r="AK14" s="323">
        <v>0.66774999999999995</v>
      </c>
      <c r="AL14" s="88">
        <v>23</v>
      </c>
      <c r="AM14" s="78">
        <v>18</v>
      </c>
      <c r="AN14" s="76">
        <v>1.2</v>
      </c>
      <c r="AO14" s="11"/>
      <c r="AP14" s="88"/>
      <c r="AQ14" s="78"/>
      <c r="AR14" s="76">
        <v>1.3</v>
      </c>
      <c r="AS14" s="11">
        <v>78.75</v>
      </c>
      <c r="AT14" s="88">
        <v>20</v>
      </c>
      <c r="AU14" s="78">
        <v>20</v>
      </c>
      <c r="AV14" s="19">
        <v>1.2</v>
      </c>
      <c r="AW14" s="11"/>
      <c r="AX14" s="88"/>
      <c r="AY14" s="78"/>
      <c r="AZ14" s="19">
        <v>1.3</v>
      </c>
      <c r="BA14" s="11"/>
      <c r="BB14" s="88"/>
      <c r="BC14" s="78"/>
      <c r="BD14" s="300" t="s">
        <v>492</v>
      </c>
      <c r="BE14" t="str">
        <f t="shared" si="0"/>
        <v>ImogenCarmichaelLittle Black SuziPrimary &lt;7Prelim</v>
      </c>
      <c r="BG14">
        <v>20</v>
      </c>
      <c r="BH14">
        <v>15</v>
      </c>
    </row>
    <row r="15" spans="1:60">
      <c r="A15" s="223" t="s">
        <v>335</v>
      </c>
      <c r="B15" s="222" t="s">
        <v>336</v>
      </c>
      <c r="C15" s="224" t="s">
        <v>218</v>
      </c>
      <c r="D15" s="225" t="s">
        <v>337</v>
      </c>
      <c r="E15" s="205">
        <v>4</v>
      </c>
      <c r="F15" s="88">
        <f t="shared" si="1"/>
        <v>83</v>
      </c>
      <c r="G15" s="78">
        <f>SUM(O15,AM15)</f>
        <v>39</v>
      </c>
      <c r="H15" s="75">
        <v>1.1000000000000001</v>
      </c>
      <c r="I15" s="11"/>
      <c r="J15" s="107"/>
      <c r="K15" s="78"/>
      <c r="L15" s="75">
        <v>1.2</v>
      </c>
      <c r="M15" s="11">
        <v>73.75</v>
      </c>
      <c r="N15" s="88">
        <v>20</v>
      </c>
      <c r="O15" s="78">
        <v>20</v>
      </c>
      <c r="P15" s="19">
        <v>1.1000000000000001</v>
      </c>
      <c r="Q15" s="11">
        <v>67.400000000000006</v>
      </c>
      <c r="R15" s="88">
        <v>18</v>
      </c>
      <c r="S15" s="78">
        <v>18</v>
      </c>
      <c r="T15" s="19">
        <v>1.2</v>
      </c>
      <c r="U15" s="11"/>
      <c r="V15" s="88"/>
      <c r="W15" s="78"/>
      <c r="X15" s="75">
        <v>1.1000000000000001</v>
      </c>
      <c r="Y15" s="11"/>
      <c r="Z15" s="107"/>
      <c r="AA15" s="345"/>
      <c r="AB15" s="361">
        <v>1.2</v>
      </c>
      <c r="AC15" s="11"/>
      <c r="AD15" s="88"/>
      <c r="AE15" s="78"/>
      <c r="AF15" s="76">
        <v>1.2</v>
      </c>
      <c r="AG15" s="323">
        <v>0.64392857142857152</v>
      </c>
      <c r="AH15" s="88">
        <v>21</v>
      </c>
      <c r="AI15" s="78">
        <v>16</v>
      </c>
      <c r="AJ15" s="19">
        <v>1.3</v>
      </c>
      <c r="AK15" s="323">
        <v>0.67500000000000004</v>
      </c>
      <c r="AL15" s="88">
        <v>24</v>
      </c>
      <c r="AM15" s="78">
        <v>19</v>
      </c>
      <c r="AN15" s="76">
        <v>1.2</v>
      </c>
      <c r="AO15" s="11"/>
      <c r="AP15" s="88"/>
      <c r="AQ15" s="78"/>
      <c r="AR15" s="76">
        <v>1.3</v>
      </c>
      <c r="AS15" s="11"/>
      <c r="AT15" s="88"/>
      <c r="AU15" s="78"/>
      <c r="AV15" s="19">
        <v>1.2</v>
      </c>
      <c r="AW15" s="11"/>
      <c r="AX15" s="88"/>
      <c r="AY15" s="78"/>
      <c r="AZ15" s="19">
        <v>1.3</v>
      </c>
      <c r="BA15" s="11"/>
      <c r="BB15" s="88"/>
      <c r="BC15" s="78"/>
      <c r="BD15" s="300" t="s">
        <v>492</v>
      </c>
      <c r="BE15" t="str">
        <f t="shared" si="0"/>
        <v>LylaWoolstonLoriot Skyes The LimitPrimary &lt;7Prelim</v>
      </c>
      <c r="BG15">
        <v>19</v>
      </c>
      <c r="BH15">
        <v>14</v>
      </c>
    </row>
    <row r="16" spans="1:60">
      <c r="A16" s="221" t="s">
        <v>338</v>
      </c>
      <c r="B16" s="221" t="s">
        <v>339</v>
      </c>
      <c r="C16" s="221" t="s">
        <v>340</v>
      </c>
      <c r="D16" s="222" t="s">
        <v>341</v>
      </c>
      <c r="E16" s="5"/>
      <c r="F16" s="88">
        <f>R16+V16+Z16+AD16+AH16+AL16+AP16+AT16</f>
        <v>38</v>
      </c>
      <c r="G16" s="78"/>
      <c r="H16" s="75">
        <v>1.1000000000000001</v>
      </c>
      <c r="I16" s="11">
        <v>63</v>
      </c>
      <c r="J16" s="107" t="s">
        <v>31</v>
      </c>
      <c r="K16" s="78"/>
      <c r="L16" s="75">
        <v>1.2</v>
      </c>
      <c r="M16" s="242">
        <v>58.393000000000001</v>
      </c>
      <c r="N16" s="234" t="s">
        <v>31</v>
      </c>
      <c r="O16" s="78"/>
      <c r="P16" s="19">
        <v>1.1000000000000001</v>
      </c>
      <c r="Q16" s="11"/>
      <c r="R16" s="100"/>
      <c r="S16" s="113"/>
      <c r="T16" s="19">
        <v>1.2</v>
      </c>
      <c r="U16" s="11"/>
      <c r="V16" s="100"/>
      <c r="W16" s="113"/>
      <c r="X16" s="75">
        <v>1.1000000000000001</v>
      </c>
      <c r="Y16" s="11">
        <v>61.6</v>
      </c>
      <c r="Z16" s="107">
        <v>20</v>
      </c>
      <c r="AA16" s="345">
        <v>20</v>
      </c>
      <c r="AB16" s="361">
        <v>1.2</v>
      </c>
      <c r="AC16" s="11">
        <v>69.643000000000001</v>
      </c>
      <c r="AD16" s="88">
        <v>18</v>
      </c>
      <c r="AE16" s="78">
        <v>18</v>
      </c>
      <c r="AF16" s="76">
        <v>1.2</v>
      </c>
      <c r="AG16" s="323">
        <v>0</v>
      </c>
      <c r="AH16" s="88">
        <v>0</v>
      </c>
      <c r="AI16" s="78" t="s">
        <v>493</v>
      </c>
      <c r="AJ16" s="19">
        <v>1.3</v>
      </c>
      <c r="AK16" s="323">
        <v>0</v>
      </c>
      <c r="AL16" s="88">
        <v>0</v>
      </c>
      <c r="AM16" s="78" t="s">
        <v>493</v>
      </c>
      <c r="AN16" s="76">
        <v>1.2</v>
      </c>
      <c r="AO16" s="11"/>
      <c r="AP16" s="88"/>
      <c r="AQ16" s="78"/>
      <c r="AR16" s="76">
        <v>1.3</v>
      </c>
      <c r="AS16" s="11"/>
      <c r="AT16" s="88"/>
      <c r="AU16" s="78"/>
      <c r="AV16" s="19">
        <v>1.2</v>
      </c>
      <c r="AW16" s="11"/>
      <c r="AX16" s="88"/>
      <c r="AY16" s="78"/>
      <c r="AZ16" s="19">
        <v>1.3</v>
      </c>
      <c r="BA16" s="11"/>
      <c r="BB16" s="88"/>
      <c r="BC16" s="78"/>
      <c r="BD16" s="300" t="s">
        <v>492</v>
      </c>
      <c r="BE16" t="str">
        <f t="shared" si="0"/>
        <v>LaylaKuhn-wyattChevrolet Silver SpiritPrimary &lt;7Prelim</v>
      </c>
      <c r="BG16">
        <v>18</v>
      </c>
      <c r="BH16">
        <v>13</v>
      </c>
    </row>
    <row r="17" spans="1:60">
      <c r="A17" s="222" t="s">
        <v>310</v>
      </c>
      <c r="B17" s="221" t="s">
        <v>311</v>
      </c>
      <c r="C17" s="221" t="s">
        <v>313</v>
      </c>
      <c r="D17" s="228" t="s">
        <v>312</v>
      </c>
      <c r="E17" s="5"/>
      <c r="F17" s="88">
        <f>J17+N17+R17+V17+Z17+AD17+AH17+AL17+AP17+AT17</f>
        <v>0</v>
      </c>
      <c r="G17" s="78"/>
      <c r="H17" s="75">
        <v>1.1000000000000001</v>
      </c>
      <c r="I17" s="11"/>
      <c r="J17" s="107"/>
      <c r="K17" s="78"/>
      <c r="L17" s="75">
        <v>1.2</v>
      </c>
      <c r="M17" s="11"/>
      <c r="N17" s="88"/>
      <c r="O17" s="78"/>
      <c r="P17" s="19">
        <v>1.1000000000000001</v>
      </c>
      <c r="Q17" s="11"/>
      <c r="R17" s="88"/>
      <c r="S17" s="78"/>
      <c r="T17" s="19">
        <v>1.2</v>
      </c>
      <c r="U17" s="11"/>
      <c r="V17" s="88"/>
      <c r="W17" s="78"/>
      <c r="X17" s="75">
        <v>1.1000000000000001</v>
      </c>
      <c r="Y17" s="11"/>
      <c r="Z17" s="107"/>
      <c r="AA17" s="345"/>
      <c r="AB17" s="361">
        <v>1.2</v>
      </c>
      <c r="AC17" s="11"/>
      <c r="AD17" s="88"/>
      <c r="AE17" s="78"/>
      <c r="AF17" s="76">
        <v>1.2</v>
      </c>
      <c r="AG17" s="323">
        <v>0</v>
      </c>
      <c r="AH17" s="88">
        <v>0</v>
      </c>
      <c r="AI17" s="78" t="s">
        <v>493</v>
      </c>
      <c r="AJ17" s="19">
        <v>1.3</v>
      </c>
      <c r="AK17" s="323">
        <v>0</v>
      </c>
      <c r="AL17" s="88">
        <v>0</v>
      </c>
      <c r="AM17" s="78" t="s">
        <v>493</v>
      </c>
      <c r="AN17" s="76">
        <v>1.2</v>
      </c>
      <c r="AO17" s="11"/>
      <c r="AP17" s="88"/>
      <c r="AQ17" s="78"/>
      <c r="AR17" s="76">
        <v>1.3</v>
      </c>
      <c r="AS17" s="11"/>
      <c r="AT17" s="88"/>
      <c r="AU17" s="78"/>
      <c r="AV17" s="19">
        <v>1.2</v>
      </c>
      <c r="AW17" s="11"/>
      <c r="AX17" s="88"/>
      <c r="AY17" s="78"/>
      <c r="AZ17" s="19">
        <v>1.3</v>
      </c>
      <c r="BA17" s="11"/>
      <c r="BB17" s="88"/>
      <c r="BC17" s="78"/>
      <c r="BD17" s="300" t="s">
        <v>492</v>
      </c>
      <c r="BE17" t="str">
        <f t="shared" si="0"/>
        <v>BrooklynShepherdReynella East CollegePrimary &lt;7Prelim</v>
      </c>
      <c r="BG17">
        <v>17</v>
      </c>
      <c r="BH17">
        <v>12</v>
      </c>
    </row>
    <row r="18" spans="1:60">
      <c r="A18" s="3" t="s">
        <v>32</v>
      </c>
      <c r="B18" t="s">
        <v>33</v>
      </c>
      <c r="C18" s="3" t="s">
        <v>34</v>
      </c>
      <c r="D18" s="3" t="s">
        <v>183</v>
      </c>
      <c r="E18" s="5"/>
      <c r="F18" s="88">
        <f>J18+N18+R18+V18+Z18+AD18+AH18+AL18+AP18+AT18</f>
        <v>0</v>
      </c>
      <c r="G18" s="78"/>
      <c r="H18" s="75">
        <v>1.1000000000000001</v>
      </c>
      <c r="I18" s="11"/>
      <c r="J18" s="107"/>
      <c r="K18" s="78"/>
      <c r="L18" s="75">
        <v>1.2</v>
      </c>
      <c r="M18" s="11"/>
      <c r="N18" s="88"/>
      <c r="O18" s="78"/>
      <c r="P18" s="19">
        <v>1.1000000000000001</v>
      </c>
      <c r="Q18" s="11"/>
      <c r="R18" s="88"/>
      <c r="S18" s="78"/>
      <c r="T18" s="19">
        <v>1.2</v>
      </c>
      <c r="U18" s="11"/>
      <c r="V18" s="88"/>
      <c r="W18" s="78"/>
      <c r="X18" s="75">
        <v>1.1000000000000001</v>
      </c>
      <c r="Y18" s="11"/>
      <c r="Z18" s="107"/>
      <c r="AA18" s="345"/>
      <c r="AB18" s="361">
        <v>1.2</v>
      </c>
      <c r="AC18" s="11"/>
      <c r="AD18" s="88"/>
      <c r="AE18" s="78"/>
      <c r="AF18" s="76">
        <v>1.2</v>
      </c>
      <c r="AG18" s="323">
        <v>0</v>
      </c>
      <c r="AH18" s="88">
        <v>0</v>
      </c>
      <c r="AI18" s="78" t="s">
        <v>493</v>
      </c>
      <c r="AJ18" s="19">
        <v>1.3</v>
      </c>
      <c r="AK18" s="323">
        <v>0</v>
      </c>
      <c r="AL18" s="88">
        <v>0</v>
      </c>
      <c r="AM18" s="78" t="s">
        <v>493</v>
      </c>
      <c r="AN18" s="76">
        <v>1.2</v>
      </c>
      <c r="AO18" s="11"/>
      <c r="AP18" s="88"/>
      <c r="AQ18" s="78"/>
      <c r="AR18" s="76">
        <v>1.3</v>
      </c>
      <c r="AS18" s="11"/>
      <c r="AT18" s="88"/>
      <c r="AU18" s="78"/>
      <c r="AV18" s="19">
        <v>1.2</v>
      </c>
      <c r="AW18" s="11"/>
      <c r="AX18" s="88"/>
      <c r="AY18" s="78"/>
      <c r="AZ18" s="19">
        <v>1.3</v>
      </c>
      <c r="BA18" s="11"/>
      <c r="BB18" s="88"/>
      <c r="BC18" s="78"/>
      <c r="BD18" s="300" t="s">
        <v>492</v>
      </c>
      <c r="BE18" t="str">
        <f t="shared" si="0"/>
        <v>CarlyRobertsTakodaPrimary &lt;7Prelim</v>
      </c>
      <c r="BG18">
        <v>16</v>
      </c>
      <c r="BH18">
        <v>11</v>
      </c>
    </row>
    <row r="19" spans="1:60">
      <c r="A19" t="s">
        <v>166</v>
      </c>
      <c r="B19" s="3" t="s">
        <v>167</v>
      </c>
      <c r="C19" s="3" t="s">
        <v>168</v>
      </c>
      <c r="D19" s="220" t="s">
        <v>173</v>
      </c>
      <c r="E19" s="5"/>
      <c r="F19" s="88">
        <f>J19+N19+R19+V19+Z19+AD19+AH19+AL19+AP19+AT19</f>
        <v>0</v>
      </c>
      <c r="G19" s="78"/>
      <c r="H19" s="75">
        <v>1.1000000000000001</v>
      </c>
      <c r="I19" s="11"/>
      <c r="J19" s="107"/>
      <c r="K19" s="78"/>
      <c r="L19" s="75">
        <v>1.2</v>
      </c>
      <c r="M19" s="11"/>
      <c r="N19" s="88"/>
      <c r="O19" s="162"/>
      <c r="P19" s="19">
        <v>1.1000000000000001</v>
      </c>
      <c r="Q19" s="11"/>
      <c r="R19" s="88"/>
      <c r="S19" s="78"/>
      <c r="T19" s="19">
        <v>1.2</v>
      </c>
      <c r="U19" s="11"/>
      <c r="V19" s="88"/>
      <c r="W19" s="78"/>
      <c r="X19" s="75">
        <v>1.1000000000000001</v>
      </c>
      <c r="Y19" s="11"/>
      <c r="Z19" s="107"/>
      <c r="AA19" s="345"/>
      <c r="AB19" s="361">
        <v>1.2</v>
      </c>
      <c r="AC19" s="11"/>
      <c r="AD19" s="88"/>
      <c r="AE19" s="162"/>
      <c r="AF19" s="76">
        <v>1.2</v>
      </c>
      <c r="AG19" s="323">
        <v>0</v>
      </c>
      <c r="AH19" s="88">
        <v>0</v>
      </c>
      <c r="AI19" s="78" t="s">
        <v>493</v>
      </c>
      <c r="AJ19" s="19">
        <v>1.3</v>
      </c>
      <c r="AK19" s="323">
        <v>0</v>
      </c>
      <c r="AL19" s="88">
        <v>0</v>
      </c>
      <c r="AM19" s="78" t="s">
        <v>493</v>
      </c>
      <c r="AN19" s="76">
        <v>1.2</v>
      </c>
      <c r="AO19" s="11"/>
      <c r="AP19" s="88"/>
      <c r="AQ19" s="78"/>
      <c r="AR19" s="76">
        <v>1.3</v>
      </c>
      <c r="AS19" s="11"/>
      <c r="AT19" s="88"/>
      <c r="AU19" s="78"/>
      <c r="AV19" s="19">
        <v>1.2</v>
      </c>
      <c r="AW19" s="11"/>
      <c r="AX19" s="88"/>
      <c r="AY19" s="78"/>
      <c r="AZ19" s="19">
        <v>1.3</v>
      </c>
      <c r="BA19" s="11"/>
      <c r="BB19" s="88"/>
      <c r="BC19" s="78"/>
      <c r="BD19" s="300" t="s">
        <v>492</v>
      </c>
      <c r="BE19" t="str">
        <f t="shared" si="0"/>
        <v>Charlotte daisyFaheyMcEwen Leonardo AsturiasPrimary &lt;7Prelim</v>
      </c>
      <c r="BG19">
        <v>15</v>
      </c>
      <c r="BH19">
        <v>10</v>
      </c>
    </row>
    <row r="20" spans="1:60">
      <c r="A20" s="3" t="s">
        <v>36</v>
      </c>
      <c r="B20" s="3" t="s">
        <v>37</v>
      </c>
      <c r="C20" s="3" t="s">
        <v>38</v>
      </c>
      <c r="D20" s="3" t="s">
        <v>170</v>
      </c>
      <c r="E20" s="5"/>
      <c r="F20" s="88">
        <f>J20+N20+R20+V20+Z20+AD20+AH20+AL20+AP20+AT20</f>
        <v>77</v>
      </c>
      <c r="G20" s="78">
        <f>SUM(AQ20,S20)</f>
        <v>35</v>
      </c>
      <c r="H20" s="75">
        <v>1.1000000000000001</v>
      </c>
      <c r="I20" s="11"/>
      <c r="J20" s="107"/>
      <c r="K20" s="78"/>
      <c r="L20" s="75">
        <v>1.2</v>
      </c>
      <c r="M20" s="11"/>
      <c r="N20" s="88"/>
      <c r="O20" s="162"/>
      <c r="P20" s="19">
        <v>1.1000000000000001</v>
      </c>
      <c r="Q20" s="11">
        <v>62.9</v>
      </c>
      <c r="R20" s="88">
        <v>17</v>
      </c>
      <c r="S20" s="78">
        <v>17</v>
      </c>
      <c r="T20" s="19">
        <v>1.2</v>
      </c>
      <c r="U20" s="11"/>
      <c r="V20" s="88"/>
      <c r="W20" s="78"/>
      <c r="X20" s="75">
        <v>1.1000000000000001</v>
      </c>
      <c r="Y20" s="11"/>
      <c r="Z20" s="107"/>
      <c r="AA20" s="345"/>
      <c r="AB20" s="361">
        <v>1.2</v>
      </c>
      <c r="AC20" s="11"/>
      <c r="AD20" s="88"/>
      <c r="AE20" s="162"/>
      <c r="AF20" s="76">
        <v>1.2</v>
      </c>
      <c r="AG20" s="323">
        <v>0.63660714285714282</v>
      </c>
      <c r="AH20" s="88">
        <v>20</v>
      </c>
      <c r="AI20" s="78">
        <v>15</v>
      </c>
      <c r="AJ20" s="19">
        <v>1.3</v>
      </c>
      <c r="AK20" s="323">
        <v>0.65100000000000002</v>
      </c>
      <c r="AL20" s="88">
        <v>22</v>
      </c>
      <c r="AM20" s="78">
        <v>17</v>
      </c>
      <c r="AN20" s="76">
        <v>1.2</v>
      </c>
      <c r="AO20" s="11">
        <v>69.819999999999993</v>
      </c>
      <c r="AP20" s="88">
        <v>18</v>
      </c>
      <c r="AQ20" s="78">
        <v>18</v>
      </c>
      <c r="AR20" s="76">
        <v>1.3</v>
      </c>
      <c r="AS20" s="11"/>
      <c r="AT20" s="88"/>
      <c r="AU20" s="78"/>
      <c r="AV20" s="19">
        <v>1.2</v>
      </c>
      <c r="AW20" s="11"/>
      <c r="AX20" s="88"/>
      <c r="AY20" s="78"/>
      <c r="AZ20" s="19">
        <v>1.3</v>
      </c>
      <c r="BA20" s="11"/>
      <c r="BB20" s="88"/>
      <c r="BC20" s="78"/>
      <c r="BD20" s="300" t="s">
        <v>492</v>
      </c>
      <c r="BE20" t="str">
        <f t="shared" si="0"/>
        <v>EllieMeaneyTanglewood Park Day DreamsPrimary &lt;7Prelim</v>
      </c>
    </row>
    <row r="21" spans="1:60">
      <c r="A21" s="3" t="s">
        <v>166</v>
      </c>
      <c r="B21" t="s">
        <v>167</v>
      </c>
      <c r="C21" s="3" t="s">
        <v>168</v>
      </c>
      <c r="D21" s="202" t="s">
        <v>169</v>
      </c>
      <c r="E21" s="5"/>
      <c r="F21" s="88">
        <f>J21+N21+Z21+AD21+AH21+AL21+AX21+BB21</f>
        <v>0</v>
      </c>
      <c r="G21" s="78"/>
      <c r="H21" s="75">
        <v>1.1000000000000001</v>
      </c>
      <c r="I21" s="11"/>
      <c r="J21" s="107"/>
      <c r="K21" s="78"/>
      <c r="L21" s="75">
        <v>1.2</v>
      </c>
      <c r="M21" s="11"/>
      <c r="N21" s="88"/>
      <c r="O21" s="78"/>
      <c r="P21" s="19">
        <v>1.1000000000000001</v>
      </c>
      <c r="Q21" s="11">
        <v>56.9</v>
      </c>
      <c r="R21" s="88" t="s">
        <v>31</v>
      </c>
      <c r="S21" s="78"/>
      <c r="T21" s="19">
        <v>1.2</v>
      </c>
      <c r="U21" s="11">
        <v>53.518000000000001</v>
      </c>
      <c r="V21" s="88" t="s">
        <v>31</v>
      </c>
      <c r="W21" s="78"/>
      <c r="X21" s="75">
        <v>1.1000000000000001</v>
      </c>
      <c r="Y21" s="11"/>
      <c r="Z21" s="107"/>
      <c r="AA21" s="345"/>
      <c r="AB21" s="361">
        <v>1.2</v>
      </c>
      <c r="AC21" s="11"/>
      <c r="AD21" s="88"/>
      <c r="AE21" s="78"/>
      <c r="AF21" s="76">
        <v>1.2</v>
      </c>
      <c r="AG21" s="323">
        <v>0</v>
      </c>
      <c r="AH21" s="88">
        <v>0</v>
      </c>
      <c r="AI21" s="78" t="s">
        <v>493</v>
      </c>
      <c r="AJ21" s="19">
        <v>1.3</v>
      </c>
      <c r="AK21" s="323">
        <v>0</v>
      </c>
      <c r="AL21" s="88">
        <v>0</v>
      </c>
      <c r="AM21" s="78" t="s">
        <v>493</v>
      </c>
      <c r="AN21" s="76">
        <v>1.2</v>
      </c>
      <c r="AO21" s="11"/>
      <c r="AP21" s="88"/>
      <c r="AQ21" s="78"/>
      <c r="AR21" s="76">
        <v>1.3</v>
      </c>
      <c r="AS21" s="11"/>
      <c r="AT21" s="88"/>
      <c r="AU21" s="78"/>
      <c r="AV21" s="19">
        <v>1.2</v>
      </c>
      <c r="AW21" s="11"/>
      <c r="AX21" s="88"/>
      <c r="AY21" s="78"/>
      <c r="AZ21" s="19">
        <v>1.3</v>
      </c>
      <c r="BA21" s="11"/>
      <c r="BB21" s="88"/>
      <c r="BC21" s="78"/>
      <c r="BD21" s="300" t="s">
        <v>492</v>
      </c>
      <c r="BE21" t="str">
        <f t="shared" si="0"/>
        <v>Charlotte daisyFaheyRising Dawn AndreisPrimary &lt;7Prelim</v>
      </c>
    </row>
    <row r="22" spans="1:60">
      <c r="A22" s="202" t="s">
        <v>342</v>
      </c>
      <c r="B22" s="202" t="s">
        <v>53</v>
      </c>
      <c r="C22" s="202" t="s">
        <v>42</v>
      </c>
      <c r="D22" s="202" t="s">
        <v>343</v>
      </c>
      <c r="E22" s="205"/>
      <c r="F22" s="88">
        <f>J22+N22+R22+V22+Z22+AD22+AH22+AL22+AP22+AT22</f>
        <v>19</v>
      </c>
      <c r="G22" s="78"/>
      <c r="H22" s="75">
        <v>1.1000000000000001</v>
      </c>
      <c r="I22" s="11"/>
      <c r="J22" s="107"/>
      <c r="K22" s="78"/>
      <c r="L22" s="75">
        <v>1.2</v>
      </c>
      <c r="M22" s="11">
        <v>68.929000000000002</v>
      </c>
      <c r="N22" s="88">
        <v>19</v>
      </c>
      <c r="O22" s="162">
        <v>19</v>
      </c>
      <c r="P22" s="19">
        <v>1.1000000000000001</v>
      </c>
      <c r="Q22" s="11"/>
      <c r="R22" s="88"/>
      <c r="S22" s="78"/>
      <c r="T22" s="19">
        <v>1.2</v>
      </c>
      <c r="U22" s="11"/>
      <c r="V22" s="88"/>
      <c r="W22" s="78"/>
      <c r="X22" s="75">
        <v>1.1000000000000001</v>
      </c>
      <c r="Y22" s="11"/>
      <c r="Z22" s="107"/>
      <c r="AA22" s="345"/>
      <c r="AB22" s="361">
        <v>1.2</v>
      </c>
      <c r="AC22" s="11"/>
      <c r="AD22" s="88"/>
      <c r="AE22" s="162"/>
      <c r="AF22" s="76">
        <v>1.2</v>
      </c>
      <c r="AG22" s="323">
        <v>0</v>
      </c>
      <c r="AH22" s="88">
        <v>0</v>
      </c>
      <c r="AI22" s="78"/>
      <c r="AJ22" s="19">
        <v>1.3</v>
      </c>
      <c r="AK22" s="323">
        <v>0</v>
      </c>
      <c r="AL22" s="88">
        <v>0</v>
      </c>
      <c r="AM22" s="78"/>
      <c r="AN22" s="76">
        <v>1.2</v>
      </c>
      <c r="AO22" s="11"/>
      <c r="AP22" s="88"/>
      <c r="AQ22" s="78"/>
      <c r="AR22" s="76">
        <v>1.3</v>
      </c>
      <c r="AS22" s="11"/>
      <c r="AT22" s="88"/>
      <c r="AU22" s="78"/>
      <c r="AV22" s="19">
        <v>1.2</v>
      </c>
      <c r="AW22" s="11"/>
      <c r="AX22" s="88"/>
      <c r="AY22" s="78"/>
      <c r="AZ22" s="19">
        <v>1.3</v>
      </c>
      <c r="BA22" s="11"/>
      <c r="BB22" s="88"/>
      <c r="BC22" s="78"/>
      <c r="BD22" s="300" t="s">
        <v>492</v>
      </c>
      <c r="BE22" t="str">
        <f t="shared" si="0"/>
        <v>ZoeJamesGundamein touch of luckPrimary &lt;7Prelim</v>
      </c>
    </row>
    <row r="23" spans="1:60" ht="16.5" thickBot="1">
      <c r="A23" s="202" t="s">
        <v>36</v>
      </c>
      <c r="B23" s="202" t="s">
        <v>37</v>
      </c>
      <c r="C23" s="202" t="s">
        <v>38</v>
      </c>
      <c r="D23" s="202" t="s">
        <v>39</v>
      </c>
      <c r="E23" s="205">
        <v>19</v>
      </c>
      <c r="F23" s="90">
        <f>J23+N23+R23+V23+Z23+AD23+AH23+AL23+AP23+AT23</f>
        <v>19</v>
      </c>
      <c r="G23" s="86"/>
      <c r="H23" s="75">
        <v>1.1000000000000001</v>
      </c>
      <c r="I23" s="11"/>
      <c r="J23" s="108"/>
      <c r="K23" s="86"/>
      <c r="L23" s="75">
        <v>1.2</v>
      </c>
      <c r="M23" s="11"/>
      <c r="N23" s="90"/>
      <c r="O23" s="81"/>
      <c r="P23" s="19">
        <v>1.1000000000000001</v>
      </c>
      <c r="Q23" s="11"/>
      <c r="R23" s="90"/>
      <c r="S23" s="86"/>
      <c r="T23" s="19">
        <v>1.2</v>
      </c>
      <c r="U23" s="11"/>
      <c r="V23" s="90"/>
      <c r="W23" s="86"/>
      <c r="X23" s="75">
        <v>1.1000000000000001</v>
      </c>
      <c r="Y23" s="11"/>
      <c r="Z23" s="108"/>
      <c r="AA23" s="345"/>
      <c r="AB23" s="361">
        <v>1.2</v>
      </c>
      <c r="AC23" s="11"/>
      <c r="AD23" s="90"/>
      <c r="AE23" s="81"/>
      <c r="AF23" s="76">
        <v>1.2</v>
      </c>
      <c r="AG23" s="323"/>
      <c r="AH23" s="90"/>
      <c r="AI23" s="86"/>
      <c r="AJ23" s="19">
        <v>1.3</v>
      </c>
      <c r="AK23" s="323"/>
      <c r="AL23" s="90"/>
      <c r="AM23" s="86"/>
      <c r="AN23" s="76">
        <v>1.2</v>
      </c>
      <c r="AO23" s="11">
        <v>71.61</v>
      </c>
      <c r="AP23" s="90">
        <v>19</v>
      </c>
      <c r="AQ23" s="86">
        <v>19</v>
      </c>
      <c r="AR23" s="76">
        <v>1.3</v>
      </c>
      <c r="AS23" s="11"/>
      <c r="AT23" s="90"/>
      <c r="AU23" s="86"/>
      <c r="AV23" s="19">
        <v>1.2</v>
      </c>
      <c r="AW23" s="11"/>
      <c r="AX23" s="90"/>
      <c r="AY23" s="86"/>
      <c r="AZ23" s="19">
        <v>1.3</v>
      </c>
      <c r="BA23" s="11"/>
      <c r="BB23" s="90"/>
      <c r="BC23" s="86"/>
      <c r="BD23" s="300"/>
    </row>
    <row r="24" spans="1:60" ht="16.5" thickBot="1">
      <c r="E24" s="27"/>
    </row>
    <row r="25" spans="1:60" ht="24" thickBot="1">
      <c r="H25" s="418" t="s">
        <v>290</v>
      </c>
      <c r="I25" s="441"/>
      <c r="J25" s="441"/>
      <c r="K25" s="463"/>
      <c r="L25" s="463"/>
      <c r="M25" s="463"/>
      <c r="N25" s="463"/>
      <c r="O25" s="412"/>
      <c r="P25" s="390" t="s">
        <v>329</v>
      </c>
      <c r="Q25" s="391"/>
      <c r="R25" s="391"/>
      <c r="S25" s="391"/>
      <c r="T25" s="391"/>
      <c r="U25" s="391"/>
      <c r="V25" s="391"/>
      <c r="W25" s="392"/>
      <c r="X25" s="402" t="s">
        <v>512</v>
      </c>
      <c r="Y25" s="444"/>
      <c r="Z25" s="444"/>
      <c r="AA25" s="444"/>
      <c r="AB25" s="444"/>
      <c r="AC25" s="444"/>
      <c r="AD25" s="444"/>
      <c r="AE25" s="445"/>
      <c r="AF25" s="410" t="s">
        <v>330</v>
      </c>
      <c r="AG25" s="411"/>
      <c r="AH25" s="411"/>
      <c r="AI25" s="446"/>
      <c r="AJ25" s="446"/>
      <c r="AK25" s="446"/>
      <c r="AL25" s="446"/>
      <c r="AM25" s="447"/>
      <c r="AN25" s="455"/>
      <c r="AO25" s="456"/>
      <c r="AP25" s="456"/>
      <c r="AQ25" s="456"/>
      <c r="AR25" s="456"/>
      <c r="AS25" s="456"/>
      <c r="AT25" s="456"/>
      <c r="AU25" s="465"/>
      <c r="AV25" s="455" t="s">
        <v>331</v>
      </c>
      <c r="AW25" s="456"/>
      <c r="AX25" s="456"/>
      <c r="AY25" s="457"/>
      <c r="AZ25" s="457"/>
      <c r="BA25" s="457"/>
      <c r="BB25" s="457"/>
      <c r="BC25" s="458"/>
    </row>
    <row r="26" spans="1:60" ht="47.25">
      <c r="A26" s="416" t="s">
        <v>344</v>
      </c>
      <c r="B26" s="409"/>
      <c r="C26" s="409"/>
      <c r="D26" s="409"/>
      <c r="E26" s="409"/>
      <c r="F26" s="117" t="s">
        <v>9</v>
      </c>
      <c r="G26" s="65" t="s">
        <v>10</v>
      </c>
      <c r="H26" s="38" t="s">
        <v>333</v>
      </c>
      <c r="I26" s="44" t="s">
        <v>334</v>
      </c>
      <c r="J26" s="92" t="s">
        <v>15</v>
      </c>
      <c r="K26" s="51" t="s">
        <v>16</v>
      </c>
      <c r="L26" s="46" t="s">
        <v>333</v>
      </c>
      <c r="M26" s="52" t="s">
        <v>334</v>
      </c>
      <c r="N26" s="97" t="s">
        <v>15</v>
      </c>
      <c r="O26" s="51" t="s">
        <v>16</v>
      </c>
      <c r="P26" s="59" t="s">
        <v>333</v>
      </c>
      <c r="Q26" s="56" t="s">
        <v>334</v>
      </c>
      <c r="R26" s="87" t="s">
        <v>15</v>
      </c>
      <c r="S26" s="57" t="s">
        <v>16</v>
      </c>
      <c r="T26" s="59" t="s">
        <v>333</v>
      </c>
      <c r="U26" s="56" t="s">
        <v>334</v>
      </c>
      <c r="V26" s="87" t="s">
        <v>15</v>
      </c>
      <c r="W26" s="57" t="s">
        <v>16</v>
      </c>
      <c r="X26" s="46" t="s">
        <v>333</v>
      </c>
      <c r="Y26" s="52" t="s">
        <v>334</v>
      </c>
      <c r="Z26" s="92" t="s">
        <v>15</v>
      </c>
      <c r="AA26" s="51" t="s">
        <v>16</v>
      </c>
      <c r="AB26" s="46" t="s">
        <v>333</v>
      </c>
      <c r="AC26" s="52" t="s">
        <v>334</v>
      </c>
      <c r="AD26" s="97" t="s">
        <v>15</v>
      </c>
      <c r="AE26" s="51" t="s">
        <v>16</v>
      </c>
      <c r="AF26" s="47" t="s">
        <v>333</v>
      </c>
      <c r="AG26" s="325" t="s">
        <v>334</v>
      </c>
      <c r="AH26" s="97" t="s">
        <v>15</v>
      </c>
      <c r="AI26" s="51" t="s">
        <v>16</v>
      </c>
      <c r="AJ26" s="47" t="s">
        <v>333</v>
      </c>
      <c r="AK26" s="325" t="s">
        <v>334</v>
      </c>
      <c r="AL26" s="97" t="s">
        <v>15</v>
      </c>
      <c r="AM26" s="51" t="s">
        <v>16</v>
      </c>
      <c r="AN26" s="38" t="s">
        <v>333</v>
      </c>
      <c r="AO26" s="52" t="s">
        <v>334</v>
      </c>
      <c r="AP26" s="97" t="s">
        <v>15</v>
      </c>
      <c r="AQ26" s="51" t="s">
        <v>16</v>
      </c>
      <c r="AR26" s="38" t="s">
        <v>333</v>
      </c>
      <c r="AS26" s="52" t="s">
        <v>334</v>
      </c>
      <c r="AT26" s="97" t="s">
        <v>15</v>
      </c>
      <c r="AU26" s="51" t="s">
        <v>16</v>
      </c>
      <c r="AV26" s="47" t="s">
        <v>333</v>
      </c>
      <c r="AW26" s="53" t="s">
        <v>334</v>
      </c>
      <c r="AX26" s="97" t="s">
        <v>15</v>
      </c>
      <c r="AY26" s="51" t="s">
        <v>16</v>
      </c>
      <c r="AZ26" s="47" t="s">
        <v>333</v>
      </c>
      <c r="BA26" s="53" t="s">
        <v>334</v>
      </c>
      <c r="BB26" s="97" t="s">
        <v>15</v>
      </c>
      <c r="BC26" s="51" t="s">
        <v>16</v>
      </c>
      <c r="BD26" t="s">
        <v>508</v>
      </c>
    </row>
    <row r="27" spans="1:60" s="43" customFormat="1">
      <c r="A27" s="1" t="s">
        <v>22</v>
      </c>
      <c r="B27" s="1" t="s">
        <v>23</v>
      </c>
      <c r="C27" s="1" t="s">
        <v>24</v>
      </c>
      <c r="D27" s="1" t="s">
        <v>25</v>
      </c>
      <c r="E27" s="170" t="s">
        <v>26</v>
      </c>
      <c r="F27" s="88">
        <f t="shared" ref="F27:F37" si="2">J27+N27+R27+V27+Z27+AD27+AH27+AL27+AP27+AT27</f>
        <v>0</v>
      </c>
      <c r="G27" s="98"/>
      <c r="H27" s="22"/>
      <c r="I27" s="16"/>
      <c r="J27" s="107"/>
      <c r="K27" s="78"/>
      <c r="L27" s="76"/>
      <c r="M27" s="11"/>
      <c r="N27" s="88"/>
      <c r="O27" s="78"/>
      <c r="P27" s="19"/>
      <c r="Q27" s="11"/>
      <c r="R27" s="100"/>
      <c r="S27" s="113"/>
      <c r="T27" s="19"/>
      <c r="U27" s="11"/>
      <c r="V27" s="100"/>
      <c r="W27" s="113"/>
      <c r="X27" s="76"/>
      <c r="Y27" s="11"/>
      <c r="Z27" s="107"/>
      <c r="AA27" s="78"/>
      <c r="AB27" s="76"/>
      <c r="AC27" s="11"/>
      <c r="AD27" s="88"/>
      <c r="AE27" s="78"/>
      <c r="AF27" s="76"/>
      <c r="AG27" s="323"/>
      <c r="AH27" s="88"/>
      <c r="AI27" s="78"/>
      <c r="AJ27" s="76"/>
      <c r="AK27" s="323"/>
      <c r="AL27" s="88"/>
      <c r="AM27" s="78"/>
      <c r="AN27" s="76">
        <v>2.2000000000000002</v>
      </c>
      <c r="AO27" s="11"/>
      <c r="AP27" s="88"/>
      <c r="AQ27" s="78"/>
      <c r="AR27" s="76">
        <v>2.2999999999999998</v>
      </c>
      <c r="AS27" s="11"/>
      <c r="AT27" s="88"/>
      <c r="AU27" s="78"/>
      <c r="AV27" s="76"/>
      <c r="AW27" s="11"/>
      <c r="AX27" s="88"/>
      <c r="AY27" s="78"/>
      <c r="AZ27" s="76"/>
      <c r="BA27" s="11"/>
      <c r="BB27" s="88"/>
      <c r="BC27" s="78"/>
      <c r="BD27" s="280" t="s">
        <v>492</v>
      </c>
      <c r="BE27" t="str">
        <f>A27&amp;B27&amp;D27&amp;BD27&amp;$BD$26</f>
        <v>Rider First NameRider Last NameName of Pony/HorsePrimary &lt;7Novice</v>
      </c>
    </row>
    <row r="28" spans="1:60">
      <c r="A28" s="3" t="s">
        <v>48</v>
      </c>
      <c r="B28" s="3" t="s">
        <v>163</v>
      </c>
      <c r="C28" s="202" t="s">
        <v>164</v>
      </c>
      <c r="D28" s="202" t="s">
        <v>165</v>
      </c>
      <c r="E28" s="216">
        <v>6</v>
      </c>
      <c r="F28" s="88">
        <f t="shared" si="2"/>
        <v>86</v>
      </c>
      <c r="G28" s="82">
        <f>SUM(AE28,AQ28)</f>
        <v>40</v>
      </c>
      <c r="H28" s="22">
        <v>2.1</v>
      </c>
      <c r="I28" s="16"/>
      <c r="J28" s="107"/>
      <c r="K28" s="78"/>
      <c r="L28" s="76">
        <v>2.2000000000000002</v>
      </c>
      <c r="M28" s="11"/>
      <c r="N28" s="88"/>
      <c r="O28" s="78"/>
      <c r="P28" s="19">
        <v>2.1</v>
      </c>
      <c r="Q28" s="11"/>
      <c r="R28" s="88"/>
      <c r="S28" s="78"/>
      <c r="T28" s="19">
        <v>2.2000000000000002</v>
      </c>
      <c r="U28" s="11"/>
      <c r="V28" s="88"/>
      <c r="W28" s="78"/>
      <c r="X28" s="76">
        <v>2.1</v>
      </c>
      <c r="Y28" s="11"/>
      <c r="Z28" s="107"/>
      <c r="AA28" s="78"/>
      <c r="AB28" s="76">
        <v>2.2000000000000002</v>
      </c>
      <c r="AC28" s="11">
        <v>66.25</v>
      </c>
      <c r="AD28" s="88">
        <v>20</v>
      </c>
      <c r="AE28" s="78">
        <v>20</v>
      </c>
      <c r="AF28" s="76">
        <v>2.2000000000000002</v>
      </c>
      <c r="AG28" s="322">
        <v>0.61562499999999998</v>
      </c>
      <c r="AH28" s="88">
        <v>23</v>
      </c>
      <c r="AI28" s="78">
        <v>18</v>
      </c>
      <c r="AJ28" s="76">
        <v>2.2999999999999998</v>
      </c>
      <c r="AK28" s="322">
        <v>0.65</v>
      </c>
      <c r="AL28" s="88">
        <v>23</v>
      </c>
      <c r="AM28" s="78">
        <v>18</v>
      </c>
      <c r="AN28" s="76">
        <v>2.2000000000000002</v>
      </c>
      <c r="AO28" s="11">
        <v>77.81</v>
      </c>
      <c r="AP28" s="88">
        <v>20</v>
      </c>
      <c r="AQ28" s="78">
        <f>AP28</f>
        <v>20</v>
      </c>
      <c r="AR28" s="76">
        <v>2.2999999999999998</v>
      </c>
      <c r="AS28" s="11"/>
      <c r="AT28" s="88"/>
      <c r="AU28" s="78"/>
      <c r="AV28" s="76">
        <v>2.2000000000000002</v>
      </c>
      <c r="AW28" s="11"/>
      <c r="AX28" s="88"/>
      <c r="AY28" s="78"/>
      <c r="AZ28" s="76">
        <v>2.2999999999999998</v>
      </c>
      <c r="BA28" s="11"/>
      <c r="BB28" s="88"/>
      <c r="BC28" s="78"/>
      <c r="BD28" s="280" t="s">
        <v>492</v>
      </c>
      <c r="BE28" t="str">
        <f t="shared" ref="BE28:BE37" si="3">A28&amp;B28&amp;D28&amp;BD28&amp;$BD$26</f>
        <v>ZaraLallyTrussana BPrimary &lt;7Novice</v>
      </c>
    </row>
    <row r="29" spans="1:60">
      <c r="A29" s="3" t="s">
        <v>48</v>
      </c>
      <c r="B29" s="3" t="s">
        <v>163</v>
      </c>
      <c r="C29" s="202" t="s">
        <v>164</v>
      </c>
      <c r="D29" s="202" t="s">
        <v>172</v>
      </c>
      <c r="E29" s="216">
        <v>6</v>
      </c>
      <c r="F29" s="88">
        <f t="shared" si="2"/>
        <v>19</v>
      </c>
      <c r="G29" s="98"/>
      <c r="H29" s="22">
        <v>2.1</v>
      </c>
      <c r="I29" s="16"/>
      <c r="J29" s="107"/>
      <c r="K29" s="78"/>
      <c r="L29" s="76">
        <v>2.2000000000000002</v>
      </c>
      <c r="M29" s="11"/>
      <c r="N29" s="88"/>
      <c r="O29" s="78"/>
      <c r="P29" s="19">
        <v>2.1</v>
      </c>
      <c r="Q29" s="11"/>
      <c r="R29" s="88"/>
      <c r="S29" s="78"/>
      <c r="T29" s="19">
        <v>2.2000000000000002</v>
      </c>
      <c r="U29" s="11"/>
      <c r="V29" s="88"/>
      <c r="W29" s="78"/>
      <c r="X29" s="76">
        <v>2.1</v>
      </c>
      <c r="Y29" s="11"/>
      <c r="Z29" s="107"/>
      <c r="AA29" s="78"/>
      <c r="AB29" s="76">
        <v>2.2000000000000002</v>
      </c>
      <c r="AC29" s="11">
        <v>65.703000000000003</v>
      </c>
      <c r="AD29" s="88">
        <v>19</v>
      </c>
      <c r="AE29" s="78">
        <v>19</v>
      </c>
      <c r="AF29" s="76">
        <v>2.2000000000000002</v>
      </c>
      <c r="AG29" s="322">
        <v>0</v>
      </c>
      <c r="AH29" s="88">
        <v>0</v>
      </c>
      <c r="AI29" s="78" t="s">
        <v>493</v>
      </c>
      <c r="AJ29" s="76">
        <v>2.2999999999999998</v>
      </c>
      <c r="AK29" s="322">
        <v>0</v>
      </c>
      <c r="AL29" s="88">
        <v>0</v>
      </c>
      <c r="AM29" s="78" t="s">
        <v>493</v>
      </c>
      <c r="AN29" s="76">
        <v>2.2000000000000002</v>
      </c>
      <c r="AO29" s="11"/>
      <c r="AP29" s="88"/>
      <c r="AQ29" s="78"/>
      <c r="AR29" s="76">
        <v>2.2999999999999998</v>
      </c>
      <c r="AS29" s="11"/>
      <c r="AT29" s="88"/>
      <c r="AU29" s="78"/>
      <c r="AV29" s="76">
        <v>2.2000000000000002</v>
      </c>
      <c r="AW29" s="11"/>
      <c r="AX29" s="88"/>
      <c r="AY29" s="78"/>
      <c r="AZ29" s="76">
        <v>2.2999999999999998</v>
      </c>
      <c r="BA29" s="11"/>
      <c r="BB29" s="88"/>
      <c r="BC29" s="78"/>
      <c r="BD29" s="280" t="s">
        <v>492</v>
      </c>
      <c r="BE29" t="str">
        <f t="shared" si="3"/>
        <v>ZaraLallyJAZAIL MARASIPrimary &lt;7Novice</v>
      </c>
    </row>
    <row r="30" spans="1:60">
      <c r="A30" s="3" t="s">
        <v>40</v>
      </c>
      <c r="B30" s="3" t="s">
        <v>41</v>
      </c>
      <c r="C30" s="202" t="s">
        <v>42</v>
      </c>
      <c r="D30" s="202" t="s">
        <v>43</v>
      </c>
      <c r="E30" s="205">
        <v>6</v>
      </c>
      <c r="F30" s="88">
        <f t="shared" si="2"/>
        <v>60</v>
      </c>
      <c r="G30" s="82">
        <f>SUM(K30,W30)</f>
        <v>40</v>
      </c>
      <c r="H30" s="22">
        <v>2.1</v>
      </c>
      <c r="I30" s="16">
        <v>68.269000000000005</v>
      </c>
      <c r="J30" s="107">
        <v>20</v>
      </c>
      <c r="K30" s="78">
        <v>20</v>
      </c>
      <c r="L30" s="76">
        <v>2.2000000000000002</v>
      </c>
      <c r="M30" s="11"/>
      <c r="N30" s="88"/>
      <c r="O30" s="78"/>
      <c r="P30" s="19">
        <v>2.1</v>
      </c>
      <c r="Q30" s="11"/>
      <c r="R30" s="88"/>
      <c r="S30" s="78"/>
      <c r="T30" s="19">
        <v>2.2000000000000002</v>
      </c>
      <c r="U30" s="11">
        <v>66.25</v>
      </c>
      <c r="V30" s="88">
        <v>20</v>
      </c>
      <c r="W30" s="78">
        <v>20</v>
      </c>
      <c r="X30" s="76">
        <v>2.1</v>
      </c>
      <c r="Y30" s="11"/>
      <c r="Z30" s="107"/>
      <c r="AA30" s="78"/>
      <c r="AB30" s="76">
        <v>2.2000000000000002</v>
      </c>
      <c r="AC30" s="11"/>
      <c r="AD30" s="88"/>
      <c r="AE30" s="78"/>
      <c r="AF30" s="76">
        <v>2.2000000000000002</v>
      </c>
      <c r="AG30" s="322">
        <v>0</v>
      </c>
      <c r="AH30" s="88">
        <v>0</v>
      </c>
      <c r="AI30" s="78" t="s">
        <v>493</v>
      </c>
      <c r="AJ30" s="76">
        <v>2.2999999999999998</v>
      </c>
      <c r="AK30" s="322">
        <v>0</v>
      </c>
      <c r="AL30" s="88">
        <v>0</v>
      </c>
      <c r="AM30" s="78" t="s">
        <v>493</v>
      </c>
      <c r="AN30" s="76">
        <v>2.2000000000000002</v>
      </c>
      <c r="AO30" s="11"/>
      <c r="AP30" s="88"/>
      <c r="AQ30" s="78"/>
      <c r="AR30" s="76">
        <v>2.2999999999999998</v>
      </c>
      <c r="AS30" s="11">
        <v>65</v>
      </c>
      <c r="AT30" s="88">
        <v>20</v>
      </c>
      <c r="AU30" s="78">
        <f>AT30</f>
        <v>20</v>
      </c>
      <c r="AV30" s="76">
        <v>2.2000000000000002</v>
      </c>
      <c r="AW30" s="11"/>
      <c r="AX30" s="88"/>
      <c r="AY30" s="78"/>
      <c r="AZ30" s="76">
        <v>2.2999999999999998</v>
      </c>
      <c r="BA30" s="11"/>
      <c r="BB30" s="88"/>
      <c r="BC30" s="78"/>
      <c r="BD30" s="280" t="s">
        <v>492</v>
      </c>
      <c r="BE30" t="str">
        <f t="shared" si="3"/>
        <v>ImogenCarmichaelLittle Black SuziPrimary &lt;7Novice</v>
      </c>
    </row>
    <row r="31" spans="1:60">
      <c r="A31" s="3" t="s">
        <v>345</v>
      </c>
      <c r="B31" s="3" t="s">
        <v>346</v>
      </c>
      <c r="C31" s="202" t="s">
        <v>347</v>
      </c>
      <c r="D31" s="202" t="s">
        <v>348</v>
      </c>
      <c r="E31" s="205">
        <v>6</v>
      </c>
      <c r="F31" s="88">
        <f t="shared" si="2"/>
        <v>0</v>
      </c>
      <c r="G31" s="98"/>
      <c r="H31" s="22">
        <v>2.1</v>
      </c>
      <c r="I31" s="16"/>
      <c r="J31" s="107"/>
      <c r="K31" s="78"/>
      <c r="L31" s="76">
        <v>2.2000000000000002</v>
      </c>
      <c r="M31" s="11"/>
      <c r="N31" s="88"/>
      <c r="O31" s="78"/>
      <c r="P31" s="19">
        <v>2.1</v>
      </c>
      <c r="Q31" s="11"/>
      <c r="R31" s="88"/>
      <c r="S31" s="162"/>
      <c r="T31" s="19">
        <v>2.2000000000000002</v>
      </c>
      <c r="U31" s="11"/>
      <c r="V31" s="88"/>
      <c r="W31" s="78"/>
      <c r="X31" s="76">
        <v>2.1</v>
      </c>
      <c r="Y31" s="11"/>
      <c r="Z31" s="107"/>
      <c r="AA31" s="78"/>
      <c r="AB31" s="76">
        <v>2.2000000000000002</v>
      </c>
      <c r="AC31" s="11"/>
      <c r="AD31" s="88"/>
      <c r="AE31" s="78"/>
      <c r="AF31" s="76">
        <v>2.2000000000000002</v>
      </c>
      <c r="AG31" s="322">
        <v>0</v>
      </c>
      <c r="AH31" s="88">
        <v>0</v>
      </c>
      <c r="AI31" s="78" t="s">
        <v>493</v>
      </c>
      <c r="AJ31" s="76">
        <v>2.2999999999999998</v>
      </c>
      <c r="AK31" s="322">
        <v>0</v>
      </c>
      <c r="AL31" s="88">
        <v>0</v>
      </c>
      <c r="AM31" s="78" t="s">
        <v>493</v>
      </c>
      <c r="AN31" s="76">
        <v>2.2000000000000002</v>
      </c>
      <c r="AO31" s="11"/>
      <c r="AP31" s="88"/>
      <c r="AQ31" s="78"/>
      <c r="AR31" s="76">
        <v>2.2999999999999998</v>
      </c>
      <c r="AS31" s="11"/>
      <c r="AT31" s="88"/>
      <c r="AU31" s="78"/>
      <c r="AV31" s="76">
        <v>2.2000000000000002</v>
      </c>
      <c r="AW31" s="11"/>
      <c r="AX31" s="88"/>
      <c r="AY31" s="78"/>
      <c r="AZ31" s="76">
        <v>2.2999999999999998</v>
      </c>
      <c r="BA31" s="11"/>
      <c r="BB31" s="88"/>
      <c r="BC31" s="78"/>
      <c r="BD31" s="280" t="s">
        <v>492</v>
      </c>
      <c r="BE31" t="str">
        <f t="shared" si="3"/>
        <v>AirlieWheadonMiss PeaPrimary &lt;7Novice</v>
      </c>
    </row>
    <row r="32" spans="1:60">
      <c r="A32" s="221" t="s">
        <v>345</v>
      </c>
      <c r="B32" s="221" t="s">
        <v>346</v>
      </c>
      <c r="C32" s="225" t="s">
        <v>347</v>
      </c>
      <c r="D32" s="225" t="s">
        <v>349</v>
      </c>
      <c r="E32" s="205">
        <v>6</v>
      </c>
      <c r="F32" s="88">
        <f t="shared" si="2"/>
        <v>69</v>
      </c>
      <c r="G32" s="82">
        <f>O32+AM32</f>
        <v>39</v>
      </c>
      <c r="H32" s="22">
        <v>2.1</v>
      </c>
      <c r="I32" s="16"/>
      <c r="J32" s="107"/>
      <c r="K32" s="78"/>
      <c r="L32" s="76">
        <v>2.2000000000000002</v>
      </c>
      <c r="M32" s="11">
        <v>67.656000000000006</v>
      </c>
      <c r="N32" s="88">
        <v>19</v>
      </c>
      <c r="O32" s="78">
        <v>19</v>
      </c>
      <c r="P32" s="19">
        <v>2.1</v>
      </c>
      <c r="Q32" s="11"/>
      <c r="R32" s="88"/>
      <c r="S32" s="78"/>
      <c r="T32" s="19">
        <v>2.2000000000000002</v>
      </c>
      <c r="U32" s="11"/>
      <c r="V32" s="88"/>
      <c r="W32" s="78"/>
      <c r="X32" s="76">
        <v>2.1</v>
      </c>
      <c r="Y32" s="11"/>
      <c r="Z32" s="107"/>
      <c r="AA32" s="78"/>
      <c r="AB32" s="76">
        <v>2.2000000000000002</v>
      </c>
      <c r="AC32" s="11"/>
      <c r="AD32" s="88"/>
      <c r="AE32" s="78"/>
      <c r="AF32" s="76">
        <v>2.2000000000000002</v>
      </c>
      <c r="AG32" s="322">
        <v>0.65312499999999996</v>
      </c>
      <c r="AH32" s="88">
        <v>25</v>
      </c>
      <c r="AI32" s="78">
        <v>20</v>
      </c>
      <c r="AJ32" s="76">
        <v>2.2999999999999998</v>
      </c>
      <c r="AK32" s="322">
        <v>0.68715000000000004</v>
      </c>
      <c r="AL32" s="88">
        <v>25</v>
      </c>
      <c r="AM32" s="78">
        <v>20</v>
      </c>
      <c r="AN32" s="76">
        <v>2.2000000000000002</v>
      </c>
      <c r="AO32" s="11"/>
      <c r="AP32" s="88"/>
      <c r="AQ32" s="78"/>
      <c r="AR32" s="76">
        <v>2.2999999999999998</v>
      </c>
      <c r="AS32" s="11"/>
      <c r="AT32" s="88"/>
      <c r="AU32" s="78"/>
      <c r="AV32" s="76">
        <v>2.2000000000000002</v>
      </c>
      <c r="AW32" s="11"/>
      <c r="AX32" s="88"/>
      <c r="AY32" s="78"/>
      <c r="AZ32" s="76">
        <v>2.2999999999999998</v>
      </c>
      <c r="BA32" s="11"/>
      <c r="BB32" s="88"/>
      <c r="BC32" s="78"/>
      <c r="BD32" s="280" t="s">
        <v>492</v>
      </c>
      <c r="BE32" t="str">
        <f t="shared" si="3"/>
        <v>AirlieWheadonWillowcroft Warrior Primary &lt;7Novice</v>
      </c>
    </row>
    <row r="33" spans="1:57">
      <c r="A33" s="221" t="s">
        <v>335</v>
      </c>
      <c r="B33" s="222" t="s">
        <v>336</v>
      </c>
      <c r="C33" s="226" t="s">
        <v>218</v>
      </c>
      <c r="D33" s="225" t="s">
        <v>337</v>
      </c>
      <c r="E33" s="205">
        <v>4</v>
      </c>
      <c r="F33" s="88">
        <f t="shared" si="2"/>
        <v>88</v>
      </c>
      <c r="G33" s="82">
        <f>O33+S33</f>
        <v>40</v>
      </c>
      <c r="H33" s="22">
        <v>2.1</v>
      </c>
      <c r="I33" s="16"/>
      <c r="J33" s="107"/>
      <c r="K33" s="78"/>
      <c r="L33" s="76">
        <v>2.2000000000000002</v>
      </c>
      <c r="M33" s="11">
        <v>70.313000000000002</v>
      </c>
      <c r="N33" s="88">
        <v>20</v>
      </c>
      <c r="O33" s="78">
        <v>20</v>
      </c>
      <c r="P33" s="19">
        <v>2.1</v>
      </c>
      <c r="Q33" s="11">
        <v>66.635000000000005</v>
      </c>
      <c r="R33" s="88">
        <v>20</v>
      </c>
      <c r="S33" s="78">
        <v>20</v>
      </c>
      <c r="T33" s="19">
        <v>2.2000000000000002</v>
      </c>
      <c r="U33" s="11"/>
      <c r="V33" s="88"/>
      <c r="W33" s="78"/>
      <c r="X33" s="76">
        <v>2.1</v>
      </c>
      <c r="Y33" s="11"/>
      <c r="Z33" s="107"/>
      <c r="AA33" s="78"/>
      <c r="AB33" s="76">
        <v>2.2000000000000002</v>
      </c>
      <c r="AC33" s="11"/>
      <c r="AD33" s="88"/>
      <c r="AE33" s="78"/>
      <c r="AF33" s="76">
        <v>2.2000000000000002</v>
      </c>
      <c r="AG33" s="322">
        <v>0.63437500000000002</v>
      </c>
      <c r="AH33" s="88">
        <v>24</v>
      </c>
      <c r="AI33" s="78">
        <v>19</v>
      </c>
      <c r="AJ33" s="76">
        <v>2.2999999999999998</v>
      </c>
      <c r="AK33" s="322">
        <v>0.65790000000000004</v>
      </c>
      <c r="AL33" s="88">
        <v>24</v>
      </c>
      <c r="AM33" s="78">
        <v>19</v>
      </c>
      <c r="AN33" s="76">
        <v>2.2000000000000002</v>
      </c>
      <c r="AO33" s="11"/>
      <c r="AP33" s="88"/>
      <c r="AQ33" s="78"/>
      <c r="AR33" s="76">
        <v>2.2999999999999998</v>
      </c>
      <c r="AS33" s="11"/>
      <c r="AT33" s="88"/>
      <c r="AU33" s="78"/>
      <c r="AV33" s="76">
        <v>2.2000000000000002</v>
      </c>
      <c r="AW33" s="11"/>
      <c r="AX33" s="88"/>
      <c r="AY33" s="78"/>
      <c r="AZ33" s="76">
        <v>2.2999999999999998</v>
      </c>
      <c r="BA33" s="11"/>
      <c r="BB33" s="88"/>
      <c r="BC33" s="78"/>
      <c r="BD33" s="280" t="s">
        <v>492</v>
      </c>
      <c r="BE33" t="str">
        <f t="shared" si="3"/>
        <v>LylaWoolstonLoriot Skyes The LimitPrimary &lt;7Novice</v>
      </c>
    </row>
    <row r="34" spans="1:57">
      <c r="A34" s="221" t="s">
        <v>338</v>
      </c>
      <c r="B34" s="221" t="s">
        <v>339</v>
      </c>
      <c r="C34" s="221" t="s">
        <v>340</v>
      </c>
      <c r="D34" s="221" t="s">
        <v>341</v>
      </c>
      <c r="E34" s="171"/>
      <c r="F34" s="88">
        <f t="shared" si="2"/>
        <v>0</v>
      </c>
      <c r="G34" s="98"/>
      <c r="H34" s="22">
        <v>2.1</v>
      </c>
      <c r="I34" s="16"/>
      <c r="J34" s="107"/>
      <c r="K34" s="78"/>
      <c r="L34" s="76">
        <v>2.2000000000000002</v>
      </c>
      <c r="M34" s="11"/>
      <c r="N34" s="88"/>
      <c r="O34" s="78"/>
      <c r="P34" s="19">
        <v>2.1</v>
      </c>
      <c r="Q34" s="11"/>
      <c r="R34" s="88"/>
      <c r="S34" s="78"/>
      <c r="T34" s="19">
        <v>2.2000000000000002</v>
      </c>
      <c r="U34" s="11"/>
      <c r="V34" s="88"/>
      <c r="W34" s="78"/>
      <c r="X34" s="76">
        <v>2.1</v>
      </c>
      <c r="Y34" s="11"/>
      <c r="Z34" s="107"/>
      <c r="AA34" s="78"/>
      <c r="AB34" s="76">
        <v>2.2000000000000002</v>
      </c>
      <c r="AC34" s="11"/>
      <c r="AD34" s="88"/>
      <c r="AE34" s="78"/>
      <c r="AF34" s="76">
        <v>2.2000000000000002</v>
      </c>
      <c r="AG34" s="322">
        <v>0</v>
      </c>
      <c r="AH34" s="88">
        <v>0</v>
      </c>
      <c r="AI34" s="78" t="s">
        <v>493</v>
      </c>
      <c r="AJ34" s="76">
        <v>2.2999999999999998</v>
      </c>
      <c r="AK34" s="322">
        <v>0</v>
      </c>
      <c r="AL34" s="88">
        <v>0</v>
      </c>
      <c r="AM34" s="78" t="s">
        <v>493</v>
      </c>
      <c r="AN34" s="76">
        <v>2.2000000000000002</v>
      </c>
      <c r="AO34" s="11"/>
      <c r="AP34" s="88"/>
      <c r="AQ34" s="78"/>
      <c r="AR34" s="76">
        <v>2.2999999999999998</v>
      </c>
      <c r="AS34" s="11"/>
      <c r="AT34" s="88"/>
      <c r="AU34" s="78"/>
      <c r="AV34" s="76">
        <v>2.2000000000000002</v>
      </c>
      <c r="AW34" s="11"/>
      <c r="AX34" s="88"/>
      <c r="AY34" s="78"/>
      <c r="AZ34" s="76">
        <v>2.2999999999999998</v>
      </c>
      <c r="BA34" s="11"/>
      <c r="BB34" s="88"/>
      <c r="BC34" s="78"/>
      <c r="BD34" s="280" t="s">
        <v>492</v>
      </c>
      <c r="BE34" t="str">
        <f t="shared" si="3"/>
        <v>LaylaKuhn-wyattChevrolet Silver SpiritPrimary &lt;7Novice</v>
      </c>
    </row>
    <row r="35" spans="1:57">
      <c r="A35" s="3" t="s">
        <v>166</v>
      </c>
      <c r="B35" s="3" t="s">
        <v>167</v>
      </c>
      <c r="C35" s="3" t="s">
        <v>168</v>
      </c>
      <c r="D35" s="202" t="s">
        <v>169</v>
      </c>
      <c r="E35" s="171"/>
      <c r="F35" s="88">
        <f t="shared" si="2"/>
        <v>0</v>
      </c>
      <c r="G35" s="98"/>
      <c r="H35" s="22">
        <v>2.1</v>
      </c>
      <c r="I35" s="16"/>
      <c r="J35" s="107"/>
      <c r="K35" s="78"/>
      <c r="L35" s="76">
        <v>2.2000000000000002</v>
      </c>
      <c r="M35" s="11"/>
      <c r="N35" s="88"/>
      <c r="O35" s="78"/>
      <c r="P35" s="19">
        <v>2.1</v>
      </c>
      <c r="Q35" s="11"/>
      <c r="R35" s="88"/>
      <c r="S35" s="78"/>
      <c r="T35" s="19">
        <v>2.2000000000000002</v>
      </c>
      <c r="U35" s="11"/>
      <c r="V35" s="88"/>
      <c r="W35" s="78"/>
      <c r="X35" s="76">
        <v>2.1</v>
      </c>
      <c r="Y35" s="11"/>
      <c r="Z35" s="107"/>
      <c r="AA35" s="78"/>
      <c r="AB35" s="76">
        <v>2.2000000000000002</v>
      </c>
      <c r="AC35" s="11"/>
      <c r="AD35" s="88"/>
      <c r="AE35" s="78"/>
      <c r="AF35" s="76">
        <v>2.2000000000000002</v>
      </c>
      <c r="AG35" s="322">
        <v>0</v>
      </c>
      <c r="AH35" s="88">
        <v>0</v>
      </c>
      <c r="AI35" s="78" t="s">
        <v>493</v>
      </c>
      <c r="AJ35" s="76">
        <v>2.2999999999999998</v>
      </c>
      <c r="AK35" s="322">
        <v>0</v>
      </c>
      <c r="AL35" s="88">
        <v>0</v>
      </c>
      <c r="AM35" s="78" t="s">
        <v>493</v>
      </c>
      <c r="AN35" s="76">
        <v>2.2000000000000002</v>
      </c>
      <c r="AO35" s="34"/>
      <c r="AP35" s="88"/>
      <c r="AQ35" s="78"/>
      <c r="AR35" s="76">
        <v>2.2999999999999998</v>
      </c>
      <c r="AS35" s="11"/>
      <c r="AT35" s="88"/>
      <c r="AU35" s="78"/>
      <c r="AV35" s="76">
        <v>2.2000000000000002</v>
      </c>
      <c r="AW35" s="34"/>
      <c r="AX35" s="88"/>
      <c r="AY35" s="78"/>
      <c r="AZ35" s="76">
        <v>2.2999999999999998</v>
      </c>
      <c r="BA35" s="11"/>
      <c r="BB35" s="88"/>
      <c r="BC35" s="78"/>
      <c r="BD35" s="280" t="s">
        <v>492</v>
      </c>
      <c r="BE35" t="str">
        <f t="shared" si="3"/>
        <v>Charlotte daisyFaheyRising Dawn AndreisPrimary &lt;7Novice</v>
      </c>
    </row>
    <row r="36" spans="1:57">
      <c r="A36" s="3" t="s">
        <v>32</v>
      </c>
      <c r="B36" t="s">
        <v>33</v>
      </c>
      <c r="C36" s="3" t="s">
        <v>34</v>
      </c>
      <c r="D36" s="3" t="s">
        <v>183</v>
      </c>
      <c r="E36" s="171"/>
      <c r="F36" s="88">
        <f t="shared" si="2"/>
        <v>0</v>
      </c>
      <c r="G36" s="98"/>
      <c r="H36" s="22">
        <v>2.1</v>
      </c>
      <c r="I36" s="16"/>
      <c r="J36" s="107"/>
      <c r="K36" s="78"/>
      <c r="L36" s="76">
        <v>2.2000000000000002</v>
      </c>
      <c r="M36" s="11"/>
      <c r="N36" s="88"/>
      <c r="O36" s="78"/>
      <c r="P36" s="19">
        <v>2.1</v>
      </c>
      <c r="Q36" s="11"/>
      <c r="R36" s="88"/>
      <c r="S36" s="78"/>
      <c r="T36" s="19">
        <v>2.2000000000000002</v>
      </c>
      <c r="U36" s="11"/>
      <c r="V36" s="88"/>
      <c r="W36" s="78"/>
      <c r="X36" s="76">
        <v>2.1</v>
      </c>
      <c r="Y36" s="11"/>
      <c r="Z36" s="107"/>
      <c r="AA36" s="78"/>
      <c r="AB36" s="76">
        <v>2.2000000000000002</v>
      </c>
      <c r="AC36" s="11"/>
      <c r="AD36" s="88"/>
      <c r="AE36" s="78"/>
      <c r="AF36" s="77">
        <v>2.2000000000000002</v>
      </c>
      <c r="AG36" s="322">
        <v>0</v>
      </c>
      <c r="AH36" s="88">
        <v>0</v>
      </c>
      <c r="AI36" s="78" t="s">
        <v>493</v>
      </c>
      <c r="AJ36" s="76">
        <v>2.2999999999999998</v>
      </c>
      <c r="AK36" s="322">
        <v>0</v>
      </c>
      <c r="AL36" s="88">
        <v>0</v>
      </c>
      <c r="AM36" s="78" t="s">
        <v>493</v>
      </c>
      <c r="AN36" s="76">
        <v>2.2000000000000002</v>
      </c>
      <c r="AO36" s="34"/>
      <c r="AP36" s="88"/>
      <c r="AQ36" s="78"/>
      <c r="AR36" s="76">
        <v>2.2999999999999998</v>
      </c>
      <c r="AS36" s="11"/>
      <c r="AT36" s="88"/>
      <c r="AU36" s="78"/>
      <c r="AV36" s="77">
        <v>2.2000000000000002</v>
      </c>
      <c r="AW36" s="34"/>
      <c r="AX36" s="88"/>
      <c r="AY36" s="78"/>
      <c r="AZ36" s="76">
        <v>2.2999999999999998</v>
      </c>
      <c r="BA36" s="11"/>
      <c r="BB36" s="88"/>
      <c r="BC36" s="78"/>
      <c r="BD36" s="280" t="s">
        <v>492</v>
      </c>
      <c r="BE36" t="str">
        <f t="shared" si="3"/>
        <v>CarlyRobertsTakodaPrimary &lt;7Novice</v>
      </c>
    </row>
    <row r="37" spans="1:57" ht="16.5" thickBot="1">
      <c r="A37" s="3" t="s">
        <v>166</v>
      </c>
      <c r="B37" s="3" t="s">
        <v>167</v>
      </c>
      <c r="C37" s="3" t="s">
        <v>168</v>
      </c>
      <c r="D37" s="220" t="s">
        <v>173</v>
      </c>
      <c r="E37" s="5"/>
      <c r="F37" s="90">
        <f t="shared" si="2"/>
        <v>0</v>
      </c>
      <c r="G37" s="99"/>
      <c r="H37" s="32">
        <v>2.1</v>
      </c>
      <c r="I37" s="18"/>
      <c r="J37" s="108"/>
      <c r="K37" s="86"/>
      <c r="L37" s="76">
        <v>2.2000000000000002</v>
      </c>
      <c r="M37" s="11"/>
      <c r="N37" s="90"/>
      <c r="O37" s="86"/>
      <c r="P37" s="19">
        <v>2.1</v>
      </c>
      <c r="Q37" s="11"/>
      <c r="R37" s="90"/>
      <c r="S37" s="86"/>
      <c r="T37" s="19">
        <v>2.2000000000000002</v>
      </c>
      <c r="U37" s="11"/>
      <c r="V37" s="90"/>
      <c r="W37" s="86"/>
      <c r="X37" s="76">
        <v>2.1</v>
      </c>
      <c r="Y37" s="11"/>
      <c r="Z37" s="108"/>
      <c r="AA37" s="86"/>
      <c r="AB37" s="76">
        <v>2.2000000000000002</v>
      </c>
      <c r="AC37" s="11"/>
      <c r="AD37" s="90"/>
      <c r="AE37" s="86"/>
      <c r="AF37" s="76">
        <v>2.2000000000000002</v>
      </c>
      <c r="AG37" s="322">
        <v>0</v>
      </c>
      <c r="AH37" s="88">
        <v>0</v>
      </c>
      <c r="AI37" s="78" t="s">
        <v>493</v>
      </c>
      <c r="AJ37" s="76">
        <v>2.2999999999999998</v>
      </c>
      <c r="AK37" s="322">
        <v>0</v>
      </c>
      <c r="AL37" s="88">
        <v>0</v>
      </c>
      <c r="AM37" s="86"/>
      <c r="AN37" s="76">
        <v>2.2000000000000002</v>
      </c>
      <c r="AO37" s="11"/>
      <c r="AP37" s="90"/>
      <c r="AQ37" s="86"/>
      <c r="AR37" s="76">
        <v>2.2999999999999998</v>
      </c>
      <c r="AS37" s="11"/>
      <c r="AT37" s="90"/>
      <c r="AU37" s="86"/>
      <c r="AV37" s="76">
        <v>2.2000000000000002</v>
      </c>
      <c r="AW37" s="11"/>
      <c r="AX37" s="90"/>
      <c r="AY37" s="86"/>
      <c r="AZ37" s="76">
        <v>2.2999999999999998</v>
      </c>
      <c r="BA37" s="11"/>
      <c r="BB37" s="90"/>
      <c r="BC37" s="86"/>
      <c r="BD37" s="280" t="s">
        <v>492</v>
      </c>
      <c r="BE37" t="str">
        <f t="shared" si="3"/>
        <v>Charlotte daisyFaheyMcEwen Leonardo AsturiasPrimary &lt;7Novice</v>
      </c>
    </row>
    <row r="38" spans="1:57">
      <c r="A38" s="7"/>
      <c r="B38" s="7"/>
      <c r="C38" s="7"/>
      <c r="D38" s="7"/>
      <c r="E38" s="7"/>
      <c r="AF38" s="9"/>
      <c r="AJ38" s="9"/>
      <c r="AN38" s="9"/>
      <c r="AR38" s="9"/>
      <c r="AV38" s="9"/>
      <c r="AZ38" s="9"/>
    </row>
    <row r="39" spans="1:57" ht="16.5" thickBot="1">
      <c r="A39" s="7"/>
      <c r="B39" s="7"/>
      <c r="C39" s="7"/>
      <c r="D39" s="7"/>
      <c r="E39" s="7"/>
      <c r="AF39" s="9"/>
      <c r="AJ39" s="9"/>
      <c r="AN39" s="9"/>
      <c r="AR39" s="9"/>
      <c r="AV39" s="9"/>
      <c r="AZ39" s="9"/>
    </row>
    <row r="40" spans="1:57" ht="24" thickBot="1">
      <c r="H40" s="418" t="s">
        <v>290</v>
      </c>
      <c r="I40" s="441"/>
      <c r="J40" s="441"/>
      <c r="K40" s="463"/>
      <c r="L40" s="463"/>
      <c r="M40" s="463"/>
      <c r="N40" s="463"/>
      <c r="O40" s="412"/>
      <c r="P40" s="390" t="s">
        <v>329</v>
      </c>
      <c r="Q40" s="391"/>
      <c r="R40" s="391"/>
      <c r="S40" s="391"/>
      <c r="T40" s="391"/>
      <c r="U40" s="391"/>
      <c r="V40" s="391"/>
      <c r="W40" s="392"/>
      <c r="X40" s="402" t="s">
        <v>512</v>
      </c>
      <c r="Y40" s="444"/>
      <c r="Z40" s="444"/>
      <c r="AA40" s="444"/>
      <c r="AB40" s="444"/>
      <c r="AC40" s="444"/>
      <c r="AD40" s="444"/>
      <c r="AE40" s="445"/>
      <c r="AF40" s="410" t="s">
        <v>330</v>
      </c>
      <c r="AG40" s="411"/>
      <c r="AH40" s="411"/>
      <c r="AI40" s="446"/>
      <c r="AJ40" s="446"/>
      <c r="AK40" s="446"/>
      <c r="AL40" s="446"/>
      <c r="AM40" s="447"/>
      <c r="AN40" s="455"/>
      <c r="AO40" s="456"/>
      <c r="AP40" s="456"/>
      <c r="AQ40" s="457"/>
      <c r="AR40" s="457"/>
      <c r="AS40" s="457"/>
      <c r="AT40" s="457"/>
      <c r="AU40" s="458"/>
      <c r="AV40" s="455" t="s">
        <v>331</v>
      </c>
      <c r="AW40" s="456"/>
      <c r="AX40" s="456"/>
      <c r="AY40" s="457"/>
      <c r="AZ40" s="457"/>
      <c r="BA40" s="457"/>
      <c r="BB40" s="457"/>
      <c r="BC40" s="458"/>
    </row>
    <row r="41" spans="1:57" ht="47.25">
      <c r="A41" s="416" t="s">
        <v>350</v>
      </c>
      <c r="B41" s="409"/>
      <c r="C41" s="409"/>
      <c r="D41" s="409"/>
      <c r="E41" s="409"/>
      <c r="F41" s="117" t="s">
        <v>9</v>
      </c>
      <c r="G41" s="51" t="s">
        <v>10</v>
      </c>
      <c r="H41" s="46" t="s">
        <v>333</v>
      </c>
      <c r="I41" s="52" t="s">
        <v>334</v>
      </c>
      <c r="J41" s="92" t="s">
        <v>15</v>
      </c>
      <c r="K41" s="51" t="s">
        <v>16</v>
      </c>
      <c r="L41" s="46" t="s">
        <v>333</v>
      </c>
      <c r="M41" s="52" t="s">
        <v>334</v>
      </c>
      <c r="N41" s="97" t="s">
        <v>15</v>
      </c>
      <c r="O41" s="51" t="s">
        <v>16</v>
      </c>
      <c r="P41" s="46" t="s">
        <v>333</v>
      </c>
      <c r="Q41" s="52" t="s">
        <v>334</v>
      </c>
      <c r="R41" s="97" t="s">
        <v>15</v>
      </c>
      <c r="S41" s="51" t="s">
        <v>16</v>
      </c>
      <c r="T41" s="46" t="s">
        <v>333</v>
      </c>
      <c r="U41" s="52" t="s">
        <v>334</v>
      </c>
      <c r="V41" s="97" t="s">
        <v>15</v>
      </c>
      <c r="W41" s="51" t="s">
        <v>16</v>
      </c>
      <c r="X41" s="46" t="s">
        <v>333</v>
      </c>
      <c r="Y41" s="52" t="s">
        <v>334</v>
      </c>
      <c r="Z41" s="92" t="s">
        <v>15</v>
      </c>
      <c r="AA41" s="51" t="s">
        <v>16</v>
      </c>
      <c r="AB41" s="46" t="s">
        <v>333</v>
      </c>
      <c r="AC41" s="52" t="s">
        <v>334</v>
      </c>
      <c r="AD41" s="97" t="s">
        <v>15</v>
      </c>
      <c r="AE41" s="51" t="s">
        <v>16</v>
      </c>
      <c r="AF41" s="46" t="s">
        <v>333</v>
      </c>
      <c r="AG41" s="324" t="s">
        <v>334</v>
      </c>
      <c r="AH41" s="97" t="s">
        <v>15</v>
      </c>
      <c r="AI41" s="51" t="s">
        <v>16</v>
      </c>
      <c r="AJ41" s="46" t="s">
        <v>333</v>
      </c>
      <c r="AK41" s="324" t="s">
        <v>334</v>
      </c>
      <c r="AL41" s="97" t="s">
        <v>15</v>
      </c>
      <c r="AM41" s="51" t="s">
        <v>16</v>
      </c>
      <c r="AN41" s="46" t="s">
        <v>333</v>
      </c>
      <c r="AO41" s="52" t="s">
        <v>334</v>
      </c>
      <c r="AP41" s="97" t="s">
        <v>15</v>
      </c>
      <c r="AQ41" s="51" t="s">
        <v>16</v>
      </c>
      <c r="AR41" s="46" t="s">
        <v>333</v>
      </c>
      <c r="AS41" s="52" t="s">
        <v>334</v>
      </c>
      <c r="AT41" s="97" t="s">
        <v>15</v>
      </c>
      <c r="AU41" s="51" t="s">
        <v>16</v>
      </c>
      <c r="AV41" s="46" t="s">
        <v>333</v>
      </c>
      <c r="AW41" s="52" t="s">
        <v>334</v>
      </c>
      <c r="AX41" s="97" t="s">
        <v>15</v>
      </c>
      <c r="AY41" s="51" t="s">
        <v>16</v>
      </c>
      <c r="AZ41" s="46" t="s">
        <v>333</v>
      </c>
      <c r="BA41" s="52" t="s">
        <v>334</v>
      </c>
      <c r="BB41" s="97" t="s">
        <v>15</v>
      </c>
      <c r="BC41" s="51" t="s">
        <v>16</v>
      </c>
      <c r="BD41" t="s">
        <v>507</v>
      </c>
    </row>
    <row r="42" spans="1:57" s="43" customFormat="1">
      <c r="A42" s="1" t="s">
        <v>22</v>
      </c>
      <c r="B42" s="1" t="s">
        <v>23</v>
      </c>
      <c r="C42" s="4" t="s">
        <v>24</v>
      </c>
      <c r="D42" s="1" t="s">
        <v>25</v>
      </c>
      <c r="E42" s="4" t="s">
        <v>26</v>
      </c>
      <c r="F42" s="88">
        <f t="shared" ref="F42:F68" si="4">J42+N42+R42+V42+Z42+AD42+AH42+AL42+AP42+AT42</f>
        <v>0</v>
      </c>
      <c r="G42" s="78"/>
      <c r="H42" s="75"/>
      <c r="I42" s="11"/>
      <c r="J42" s="107"/>
      <c r="K42" s="78"/>
      <c r="L42" s="76"/>
      <c r="M42" s="11"/>
      <c r="N42" s="88"/>
      <c r="O42" s="78"/>
      <c r="P42" s="19"/>
      <c r="Q42" s="11"/>
      <c r="R42" s="88"/>
      <c r="S42" s="78"/>
      <c r="T42" s="19"/>
      <c r="U42" s="11"/>
      <c r="V42" s="88"/>
      <c r="W42" s="78"/>
      <c r="X42" s="75"/>
      <c r="Y42" s="11"/>
      <c r="Z42" s="107"/>
      <c r="AA42" s="78"/>
      <c r="AB42" s="76"/>
      <c r="AC42" s="11"/>
      <c r="AD42" s="88"/>
      <c r="AE42" s="78"/>
      <c r="AF42" s="19"/>
      <c r="AG42" s="323"/>
      <c r="AH42" s="88"/>
      <c r="AI42" s="78"/>
      <c r="AJ42" s="19"/>
      <c r="AK42" s="323"/>
      <c r="AL42" s="88"/>
      <c r="AM42" s="78"/>
      <c r="AN42" s="76">
        <v>1.2</v>
      </c>
      <c r="AO42" s="11"/>
      <c r="AP42" s="88"/>
      <c r="AQ42" s="78"/>
      <c r="AR42" s="19"/>
      <c r="AS42" s="11"/>
      <c r="AT42" s="88"/>
      <c r="AU42" s="78"/>
      <c r="AV42" s="19"/>
      <c r="AW42" s="11"/>
      <c r="AX42" s="88"/>
      <c r="AY42" s="78"/>
      <c r="AZ42" s="19"/>
      <c r="BA42" s="11"/>
      <c r="BB42" s="88"/>
      <c r="BC42" s="78"/>
      <c r="BD42" s="298" t="s">
        <v>490</v>
      </c>
      <c r="BE42" t="str">
        <f>A42&amp;B42&amp;D42&amp;BD42&amp;$BD$41</f>
        <v>Rider First NameRider Last NameName of Pony/HorseIntermediate 7-9Prelim</v>
      </c>
    </row>
    <row r="43" spans="1:57">
      <c r="A43" s="3" t="s">
        <v>214</v>
      </c>
      <c r="B43" s="3" t="s">
        <v>215</v>
      </c>
      <c r="C43" s="205" t="s">
        <v>63</v>
      </c>
      <c r="D43" s="202" t="s">
        <v>216</v>
      </c>
      <c r="E43" s="205">
        <v>7</v>
      </c>
      <c r="F43" s="88">
        <f t="shared" si="4"/>
        <v>0</v>
      </c>
      <c r="G43" s="78"/>
      <c r="H43" s="75">
        <v>1.1000000000000001</v>
      </c>
      <c r="I43" s="11"/>
      <c r="J43" s="107"/>
      <c r="K43" s="162"/>
      <c r="L43" s="75">
        <v>1.2</v>
      </c>
      <c r="M43" s="11"/>
      <c r="N43" s="155"/>
      <c r="O43" s="162"/>
      <c r="P43" s="19">
        <v>1.1000000000000001</v>
      </c>
      <c r="Q43" s="11"/>
      <c r="R43" s="88"/>
      <c r="S43" s="78"/>
      <c r="T43" s="19">
        <v>1.2</v>
      </c>
      <c r="U43" s="11"/>
      <c r="V43" s="88"/>
      <c r="W43" s="78"/>
      <c r="X43" s="75">
        <v>1.1000000000000001</v>
      </c>
      <c r="Y43" s="11"/>
      <c r="Z43" s="107"/>
      <c r="AA43" s="162"/>
      <c r="AB43" s="76">
        <v>1.2</v>
      </c>
      <c r="AC43" s="11"/>
      <c r="AD43" s="155"/>
      <c r="AE43" s="162"/>
      <c r="AF43" s="19">
        <v>1.2</v>
      </c>
      <c r="AG43" s="371">
        <v>0</v>
      </c>
      <c r="AH43" s="88">
        <v>0</v>
      </c>
      <c r="AI43" s="78"/>
      <c r="AJ43" s="19">
        <v>1.3</v>
      </c>
      <c r="AK43" s="371">
        <v>0</v>
      </c>
      <c r="AL43" s="88">
        <v>0</v>
      </c>
      <c r="AM43" s="78">
        <v>0</v>
      </c>
      <c r="AN43" s="76">
        <v>1.2</v>
      </c>
      <c r="AO43" s="11"/>
      <c r="AP43" s="88"/>
      <c r="AQ43" s="78"/>
      <c r="AR43" s="76">
        <v>1.3</v>
      </c>
      <c r="AS43" s="11"/>
      <c r="AT43" s="88"/>
      <c r="AU43" s="78"/>
      <c r="AV43" s="76">
        <v>1.2</v>
      </c>
      <c r="AW43" s="11"/>
      <c r="AX43" s="88"/>
      <c r="AY43" s="78"/>
      <c r="AZ43" s="19">
        <v>1.3</v>
      </c>
      <c r="BA43" s="11"/>
      <c r="BB43" s="88"/>
      <c r="BC43" s="78"/>
      <c r="BD43" s="298" t="s">
        <v>490</v>
      </c>
      <c r="BE43" t="str">
        <f t="shared" ref="BE43:BE68" si="5">A43&amp;B43&amp;D43&amp;BD43&amp;$BD$41</f>
        <v>AdelaideNobleCalumet VictoryIntermediate 7-9Prelim</v>
      </c>
    </row>
    <row r="44" spans="1:57">
      <c r="A44" s="3" t="s">
        <v>65</v>
      </c>
      <c r="B44" s="3" t="s">
        <v>66</v>
      </c>
      <c r="C44" s="3" t="s">
        <v>67</v>
      </c>
      <c r="D44" s="3" t="s">
        <v>68</v>
      </c>
      <c r="E44" s="216">
        <v>9</v>
      </c>
      <c r="F44" s="88">
        <f t="shared" si="4"/>
        <v>0</v>
      </c>
      <c r="G44" s="78"/>
      <c r="H44" s="75">
        <v>1.1000000000000001</v>
      </c>
      <c r="I44" s="11"/>
      <c r="J44" s="107"/>
      <c r="K44" s="78"/>
      <c r="L44" s="75">
        <v>1.2</v>
      </c>
      <c r="M44" s="11"/>
      <c r="N44" s="88"/>
      <c r="O44" s="78"/>
      <c r="P44" s="19">
        <v>1.1000000000000001</v>
      </c>
      <c r="Q44" s="11"/>
      <c r="R44" s="100"/>
      <c r="S44" s="113"/>
      <c r="T44" s="19">
        <v>1.2</v>
      </c>
      <c r="U44" s="11"/>
      <c r="V44" s="155"/>
      <c r="W44" s="162"/>
      <c r="X44" s="75">
        <v>1.1000000000000001</v>
      </c>
      <c r="Y44" s="11"/>
      <c r="Z44" s="107"/>
      <c r="AA44" s="78"/>
      <c r="AB44" s="76">
        <v>1.2</v>
      </c>
      <c r="AC44" s="11"/>
      <c r="AD44" s="88"/>
      <c r="AE44" s="78"/>
      <c r="AF44" s="19">
        <v>1.2</v>
      </c>
      <c r="AG44" s="371">
        <v>0</v>
      </c>
      <c r="AH44" s="88">
        <v>0</v>
      </c>
      <c r="AI44" s="78"/>
      <c r="AJ44" s="19">
        <v>1.3</v>
      </c>
      <c r="AK44" s="371">
        <v>0</v>
      </c>
      <c r="AL44" s="88">
        <v>0</v>
      </c>
      <c r="AM44" s="78" t="s">
        <v>493</v>
      </c>
      <c r="AN44" s="76">
        <v>1.2</v>
      </c>
      <c r="AO44" s="11"/>
      <c r="AP44" s="88"/>
      <c r="AQ44" s="78"/>
      <c r="AR44" s="76">
        <v>1.3</v>
      </c>
      <c r="AS44" s="11"/>
      <c r="AT44" s="88"/>
      <c r="AU44" s="78"/>
      <c r="AV44" s="76">
        <v>1.2</v>
      </c>
      <c r="AW44" s="11"/>
      <c r="AX44" s="88"/>
      <c r="AY44" s="78"/>
      <c r="AZ44" s="19">
        <v>1.3</v>
      </c>
      <c r="BA44" s="11"/>
      <c r="BB44" s="88"/>
      <c r="BC44" s="78"/>
      <c r="BD44" s="298" t="s">
        <v>490</v>
      </c>
      <c r="BE44" t="str">
        <f t="shared" si="5"/>
        <v>AnnabelleKnowlesSandon Grove Bobby RoyalIntermediate 7-9Prelim</v>
      </c>
    </row>
    <row r="45" spans="1:57">
      <c r="A45" s="3" t="s">
        <v>186</v>
      </c>
      <c r="B45" s="3" t="s">
        <v>187</v>
      </c>
      <c r="C45" s="205" t="s">
        <v>188</v>
      </c>
      <c r="D45" s="202" t="s">
        <v>189</v>
      </c>
      <c r="E45" s="205">
        <v>9</v>
      </c>
      <c r="F45" s="88">
        <f>N45+R45+V45+Z45+AD45+AH45+AL45+AP45+AT45</f>
        <v>40</v>
      </c>
      <c r="G45" s="78"/>
      <c r="H45" s="75">
        <v>1.1000000000000001</v>
      </c>
      <c r="I45" s="242">
        <v>59.4</v>
      </c>
      <c r="J45" s="241" t="s">
        <v>31</v>
      </c>
      <c r="K45" s="78"/>
      <c r="L45" s="75">
        <v>1.2</v>
      </c>
      <c r="M45" s="11"/>
      <c r="N45" s="88"/>
      <c r="O45" s="78"/>
      <c r="P45" s="19">
        <v>1.1000000000000001</v>
      </c>
      <c r="Q45" s="11"/>
      <c r="R45" s="88"/>
      <c r="S45" s="78"/>
      <c r="T45" s="19">
        <v>1.2</v>
      </c>
      <c r="U45" s="11"/>
      <c r="V45" s="156"/>
      <c r="W45" s="181"/>
      <c r="X45" s="75">
        <v>1.1000000000000001</v>
      </c>
      <c r="Y45" s="11">
        <v>66.400000000000006</v>
      </c>
      <c r="Z45" s="107">
        <v>20</v>
      </c>
      <c r="AA45" s="78">
        <v>20</v>
      </c>
      <c r="AB45" s="76">
        <v>1.2</v>
      </c>
      <c r="AC45" s="11">
        <v>69.106999999999999</v>
      </c>
      <c r="AD45" s="88">
        <v>20</v>
      </c>
      <c r="AE45" s="78">
        <v>20</v>
      </c>
      <c r="AF45" s="19">
        <v>1.2</v>
      </c>
      <c r="AG45" s="371">
        <v>0.54910000000000003</v>
      </c>
      <c r="AH45" s="88">
        <v>0</v>
      </c>
      <c r="AI45" s="78"/>
      <c r="AJ45" s="19">
        <v>1.3</v>
      </c>
      <c r="AK45" s="371">
        <v>0.58644999999999992</v>
      </c>
      <c r="AL45" s="88">
        <v>0</v>
      </c>
      <c r="AM45" s="78" t="s">
        <v>493</v>
      </c>
      <c r="AN45" s="76">
        <v>1.2</v>
      </c>
      <c r="AO45" s="11"/>
      <c r="AP45" s="88"/>
      <c r="AQ45" s="78"/>
      <c r="AR45" s="76">
        <v>1.3</v>
      </c>
      <c r="AS45" s="11"/>
      <c r="AT45" s="88"/>
      <c r="AU45" s="78"/>
      <c r="AV45" s="76">
        <v>1.2</v>
      </c>
      <c r="AW45" s="11"/>
      <c r="AX45" s="88"/>
      <c r="AY45" s="78"/>
      <c r="AZ45" s="19">
        <v>1.3</v>
      </c>
      <c r="BA45" s="11"/>
      <c r="BB45" s="88"/>
      <c r="BC45" s="78"/>
      <c r="BD45" s="298" t="s">
        <v>490</v>
      </c>
      <c r="BE45" t="str">
        <f t="shared" si="5"/>
        <v>EllanaPrinciEP RoyaleIntermediate 7-9Prelim</v>
      </c>
    </row>
    <row r="46" spans="1:57">
      <c r="A46" s="3" t="s">
        <v>193</v>
      </c>
      <c r="B46" s="3" t="s">
        <v>194</v>
      </c>
      <c r="C46" s="202" t="s">
        <v>195</v>
      </c>
      <c r="D46" s="202" t="s">
        <v>196</v>
      </c>
      <c r="E46" s="205">
        <v>7</v>
      </c>
      <c r="F46" s="88">
        <f t="shared" si="4"/>
        <v>0</v>
      </c>
      <c r="G46" s="78"/>
      <c r="H46" s="75">
        <v>1.1000000000000001</v>
      </c>
      <c r="I46" s="11"/>
      <c r="J46" s="107"/>
      <c r="K46" s="78"/>
      <c r="L46" s="75">
        <v>1.2</v>
      </c>
      <c r="M46" s="11"/>
      <c r="N46" s="88"/>
      <c r="O46" s="78"/>
      <c r="P46" s="19">
        <v>1.1000000000000001</v>
      </c>
      <c r="Q46" s="11"/>
      <c r="R46" s="88"/>
      <c r="S46" s="78"/>
      <c r="T46" s="19">
        <v>1.2</v>
      </c>
      <c r="U46" s="11"/>
      <c r="V46" s="156"/>
      <c r="W46" s="181"/>
      <c r="X46" s="75">
        <v>1.1000000000000001</v>
      </c>
      <c r="Y46" s="11"/>
      <c r="Z46" s="107"/>
      <c r="AA46" s="78"/>
      <c r="AB46" s="76">
        <v>1.2</v>
      </c>
      <c r="AC46" s="11"/>
      <c r="AD46" s="88"/>
      <c r="AE46" s="78"/>
      <c r="AF46" s="19">
        <v>1.2</v>
      </c>
      <c r="AG46" s="371">
        <v>0</v>
      </c>
      <c r="AH46" s="88">
        <v>0</v>
      </c>
      <c r="AI46" s="78"/>
      <c r="AJ46" s="19">
        <v>1.3</v>
      </c>
      <c r="AK46" s="371">
        <v>0</v>
      </c>
      <c r="AL46" s="88">
        <v>0</v>
      </c>
      <c r="AM46" s="78" t="s">
        <v>493</v>
      </c>
      <c r="AN46" s="76">
        <v>1.2</v>
      </c>
      <c r="AO46" s="11"/>
      <c r="AP46" s="88"/>
      <c r="AQ46" s="78"/>
      <c r="AR46" s="76">
        <v>1.3</v>
      </c>
      <c r="AS46" s="11"/>
      <c r="AT46" s="88"/>
      <c r="AU46" s="78"/>
      <c r="AV46" s="76">
        <v>1.2</v>
      </c>
      <c r="AW46" s="11"/>
      <c r="AX46" s="88"/>
      <c r="AY46" s="78"/>
      <c r="AZ46" s="19">
        <v>1.3</v>
      </c>
      <c r="BA46" s="11"/>
      <c r="BB46" s="88"/>
      <c r="BC46" s="78"/>
      <c r="BD46" s="298" t="s">
        <v>490</v>
      </c>
      <c r="BE46" t="str">
        <f t="shared" si="5"/>
        <v>IslaPettmanShropshire Posh JoshIntermediate 7-9Prelim</v>
      </c>
    </row>
    <row r="47" spans="1:57">
      <c r="A47" s="3" t="s">
        <v>117</v>
      </c>
      <c r="B47" s="3" t="s">
        <v>118</v>
      </c>
      <c r="C47" s="202" t="s">
        <v>119</v>
      </c>
      <c r="D47" s="202" t="s">
        <v>120</v>
      </c>
      <c r="E47" s="217">
        <v>8</v>
      </c>
      <c r="F47" s="88">
        <f t="shared" si="4"/>
        <v>0</v>
      </c>
      <c r="G47" s="78"/>
      <c r="H47" s="75">
        <v>1.1000000000000001</v>
      </c>
      <c r="I47" s="11"/>
      <c r="J47" s="107"/>
      <c r="K47" s="78"/>
      <c r="L47" s="75">
        <v>1.2</v>
      </c>
      <c r="M47" s="11"/>
      <c r="N47" s="88"/>
      <c r="O47" s="78"/>
      <c r="P47" s="19">
        <v>1.1000000000000001</v>
      </c>
      <c r="Q47" s="11"/>
      <c r="R47" s="88"/>
      <c r="S47" s="78"/>
      <c r="T47" s="19">
        <v>1.2</v>
      </c>
      <c r="U47" s="11"/>
      <c r="V47" s="156"/>
      <c r="W47" s="181"/>
      <c r="X47" s="75">
        <v>1.1000000000000001</v>
      </c>
      <c r="Y47" s="11"/>
      <c r="Z47" s="107"/>
      <c r="AA47" s="78"/>
      <c r="AB47" s="76">
        <v>1.2</v>
      </c>
      <c r="AC47" s="11"/>
      <c r="AD47" s="88"/>
      <c r="AE47" s="78"/>
      <c r="AF47" s="19">
        <v>1.2</v>
      </c>
      <c r="AG47" s="371">
        <v>0</v>
      </c>
      <c r="AH47" s="88">
        <v>0</v>
      </c>
      <c r="AI47" s="78"/>
      <c r="AJ47" s="19">
        <v>1.3</v>
      </c>
      <c r="AK47" s="371">
        <v>0</v>
      </c>
      <c r="AL47" s="88">
        <v>0</v>
      </c>
      <c r="AM47" s="78" t="s">
        <v>493</v>
      </c>
      <c r="AN47" s="76">
        <v>1.2</v>
      </c>
      <c r="AO47" s="11"/>
      <c r="AP47" s="88"/>
      <c r="AQ47" s="78"/>
      <c r="AR47" s="76">
        <v>1.3</v>
      </c>
      <c r="AS47" s="11"/>
      <c r="AT47" s="88"/>
      <c r="AU47" s="78"/>
      <c r="AV47" s="76">
        <v>1.2</v>
      </c>
      <c r="AW47" s="11"/>
      <c r="AX47" s="88"/>
      <c r="AY47" s="78"/>
      <c r="AZ47" s="19">
        <v>1.3</v>
      </c>
      <c r="BA47" s="11"/>
      <c r="BB47" s="88"/>
      <c r="BC47" s="78"/>
      <c r="BD47" s="298" t="s">
        <v>490</v>
      </c>
      <c r="BE47" t="str">
        <f t="shared" si="5"/>
        <v>HaileyArnoldWyoming LassIntermediate 7-9Prelim</v>
      </c>
    </row>
    <row r="48" spans="1:57">
      <c r="A48" s="3" t="s">
        <v>99</v>
      </c>
      <c r="B48" s="3" t="s">
        <v>41</v>
      </c>
      <c r="C48" s="202" t="s">
        <v>42</v>
      </c>
      <c r="D48" s="202" t="s">
        <v>212</v>
      </c>
      <c r="E48" s="205">
        <v>7</v>
      </c>
      <c r="F48" s="88">
        <f t="shared" si="4"/>
        <v>20</v>
      </c>
      <c r="G48" s="78"/>
      <c r="H48" s="75">
        <v>1.1000000000000001</v>
      </c>
      <c r="I48" s="11"/>
      <c r="J48" s="107"/>
      <c r="K48" s="162"/>
      <c r="L48" s="75">
        <v>1.2</v>
      </c>
      <c r="M48" s="11"/>
      <c r="N48" s="155"/>
      <c r="O48" s="162"/>
      <c r="P48" s="19">
        <v>1.1000000000000001</v>
      </c>
      <c r="Q48" s="11"/>
      <c r="R48" s="88"/>
      <c r="S48" s="78"/>
      <c r="T48" s="19">
        <v>1.2</v>
      </c>
      <c r="U48" s="11"/>
      <c r="V48" s="156"/>
      <c r="W48" s="181"/>
      <c r="X48" s="75">
        <v>1.1000000000000001</v>
      </c>
      <c r="Y48" s="11"/>
      <c r="Z48" s="107"/>
      <c r="AA48" s="162"/>
      <c r="AB48" s="76">
        <v>1.2</v>
      </c>
      <c r="AC48" s="11"/>
      <c r="AD48" s="155"/>
      <c r="AE48" s="162"/>
      <c r="AF48" s="19">
        <v>1.2</v>
      </c>
      <c r="AG48" s="371">
        <v>0</v>
      </c>
      <c r="AH48" s="88">
        <v>0</v>
      </c>
      <c r="AI48" s="78"/>
      <c r="AJ48" s="19">
        <v>1.3</v>
      </c>
      <c r="AK48" s="371">
        <v>0</v>
      </c>
      <c r="AL48" s="88">
        <v>0</v>
      </c>
      <c r="AM48" s="78" t="s">
        <v>493</v>
      </c>
      <c r="AN48" s="76">
        <v>1.2</v>
      </c>
      <c r="AO48" s="11"/>
      <c r="AP48" s="88"/>
      <c r="AQ48" s="78"/>
      <c r="AR48" s="76">
        <v>1.3</v>
      </c>
      <c r="AS48" s="11">
        <v>77.5</v>
      </c>
      <c r="AT48" s="88">
        <v>20</v>
      </c>
      <c r="AU48" s="78">
        <f>AT48</f>
        <v>20</v>
      </c>
      <c r="AV48" s="76">
        <v>1.2</v>
      </c>
      <c r="AW48" s="11"/>
      <c r="AX48" s="88"/>
      <c r="AY48" s="78"/>
      <c r="AZ48" s="19">
        <v>1.3</v>
      </c>
      <c r="BA48" s="11"/>
      <c r="BB48" s="88"/>
      <c r="BC48" s="78"/>
      <c r="BD48" s="298" t="s">
        <v>490</v>
      </c>
      <c r="BE48" t="str">
        <f t="shared" si="5"/>
        <v>StellaCarmichaelRhesa Prince of PeaceIntermediate 7-9Prelim</v>
      </c>
    </row>
    <row r="49" spans="1:57">
      <c r="A49" s="3" t="s">
        <v>99</v>
      </c>
      <c r="B49" s="3" t="s">
        <v>41</v>
      </c>
      <c r="C49" s="202" t="s">
        <v>42</v>
      </c>
      <c r="D49" s="202" t="s">
        <v>100</v>
      </c>
      <c r="E49" s="205">
        <v>7</v>
      </c>
      <c r="F49" s="88">
        <f t="shared" si="4"/>
        <v>68</v>
      </c>
      <c r="G49" s="78">
        <f>SUM(AM49,AQ49)</f>
        <v>39</v>
      </c>
      <c r="H49" s="75">
        <v>1.1000000000000001</v>
      </c>
      <c r="I49" s="11"/>
      <c r="J49" s="107"/>
      <c r="K49" s="78"/>
      <c r="L49" s="75">
        <v>1.2</v>
      </c>
      <c r="M49" s="11"/>
      <c r="N49" s="155"/>
      <c r="O49" s="162"/>
      <c r="P49" s="19">
        <v>1.1000000000000001</v>
      </c>
      <c r="Q49" s="11"/>
      <c r="R49" s="88"/>
      <c r="S49" s="78"/>
      <c r="T49" s="19">
        <v>1.2</v>
      </c>
      <c r="U49" s="11"/>
      <c r="V49" s="156"/>
      <c r="W49" s="181"/>
      <c r="X49" s="75">
        <v>1.1000000000000001</v>
      </c>
      <c r="Y49" s="11"/>
      <c r="Z49" s="107"/>
      <c r="AA49" s="78"/>
      <c r="AB49" s="76">
        <v>1.2</v>
      </c>
      <c r="AC49" s="11"/>
      <c r="AD49" s="155"/>
      <c r="AE49" s="162"/>
      <c r="AF49" s="19">
        <v>1.2</v>
      </c>
      <c r="AG49" s="371">
        <v>0.67859999999999998</v>
      </c>
      <c r="AH49" s="88">
        <v>24</v>
      </c>
      <c r="AI49" s="78">
        <v>19</v>
      </c>
      <c r="AJ49" s="19">
        <v>1.3</v>
      </c>
      <c r="AK49" s="371">
        <v>0.66354999999999997</v>
      </c>
      <c r="AL49" s="88">
        <v>24</v>
      </c>
      <c r="AM49" s="78">
        <v>19</v>
      </c>
      <c r="AN49" s="76">
        <v>1.2</v>
      </c>
      <c r="AO49" s="11">
        <v>70</v>
      </c>
      <c r="AP49" s="88">
        <v>20</v>
      </c>
      <c r="AQ49" s="78">
        <f>AP49</f>
        <v>20</v>
      </c>
      <c r="AR49" s="76">
        <v>1.3</v>
      </c>
      <c r="AS49" s="11"/>
      <c r="AT49" s="88"/>
      <c r="AU49" s="78"/>
      <c r="AV49" s="76">
        <v>1.2</v>
      </c>
      <c r="AW49" s="11"/>
      <c r="AX49" s="88"/>
      <c r="AY49" s="78"/>
      <c r="AZ49" s="19">
        <v>1.3</v>
      </c>
      <c r="BA49" s="11"/>
      <c r="BB49" s="88"/>
      <c r="BC49" s="78"/>
      <c r="BD49" s="298" t="s">
        <v>490</v>
      </c>
      <c r="BE49" t="str">
        <f t="shared" si="5"/>
        <v>StellaCarmichaelWynara First RomanceIntermediate 7-9Prelim</v>
      </c>
    </row>
    <row r="50" spans="1:57">
      <c r="A50" s="3" t="s">
        <v>201</v>
      </c>
      <c r="B50" t="s">
        <v>202</v>
      </c>
      <c r="C50" s="202" t="s">
        <v>203</v>
      </c>
      <c r="D50" s="202" t="s">
        <v>351</v>
      </c>
      <c r="E50" s="216"/>
      <c r="F50" s="88">
        <f t="shared" si="4"/>
        <v>123</v>
      </c>
      <c r="G50" s="78">
        <f>SUM(S50,AI50)</f>
        <v>40</v>
      </c>
      <c r="H50" s="75">
        <v>1.1000000000000001</v>
      </c>
      <c r="I50" s="11">
        <v>63</v>
      </c>
      <c r="J50" s="107">
        <v>19</v>
      </c>
      <c r="K50" s="78">
        <v>19</v>
      </c>
      <c r="L50" s="75">
        <v>1.2</v>
      </c>
      <c r="M50" s="11">
        <v>63.929000000000002</v>
      </c>
      <c r="N50" s="155">
        <v>19</v>
      </c>
      <c r="O50" s="162">
        <v>19</v>
      </c>
      <c r="P50" s="19">
        <v>1.1000000000000001</v>
      </c>
      <c r="Q50" s="11">
        <v>69.400000000000006</v>
      </c>
      <c r="R50" s="88">
        <v>20</v>
      </c>
      <c r="S50" s="78">
        <v>20</v>
      </c>
      <c r="T50" s="19">
        <v>1.2</v>
      </c>
      <c r="U50" s="11">
        <v>69.463999999999999</v>
      </c>
      <c r="V50" s="156">
        <v>20</v>
      </c>
      <c r="W50" s="181"/>
      <c r="X50" s="75">
        <v>1.1000000000000001</v>
      </c>
      <c r="Y50" s="11"/>
      <c r="Z50" s="107"/>
      <c r="AA50" s="78"/>
      <c r="AB50" s="76">
        <v>1.2</v>
      </c>
      <c r="AC50" s="11"/>
      <c r="AD50" s="155"/>
      <c r="AE50" s="162"/>
      <c r="AF50" s="19">
        <v>1.2</v>
      </c>
      <c r="AG50" s="371">
        <v>0.6946</v>
      </c>
      <c r="AH50" s="88">
        <v>25</v>
      </c>
      <c r="AI50" s="78">
        <v>20</v>
      </c>
      <c r="AJ50" s="19">
        <v>1.3</v>
      </c>
      <c r="AK50" s="371">
        <v>0.60624999999999996</v>
      </c>
      <c r="AL50" s="88">
        <v>20</v>
      </c>
      <c r="AM50" s="78">
        <v>15</v>
      </c>
      <c r="AN50" s="76">
        <v>1.2</v>
      </c>
      <c r="AO50" s="11"/>
      <c r="AP50" s="88"/>
      <c r="AQ50" s="78"/>
      <c r="AR50" s="76">
        <v>1.3</v>
      </c>
      <c r="AS50" s="11"/>
      <c r="AT50" s="88"/>
      <c r="AU50" s="78"/>
      <c r="AV50" s="76">
        <v>1.2</v>
      </c>
      <c r="AW50" s="11"/>
      <c r="AX50" s="88"/>
      <c r="AY50" s="78"/>
      <c r="AZ50" s="19">
        <v>1.3</v>
      </c>
      <c r="BA50" s="11"/>
      <c r="BB50" s="88"/>
      <c r="BC50" s="78"/>
      <c r="BD50" s="298" t="s">
        <v>490</v>
      </c>
      <c r="BE50" t="str">
        <f t="shared" si="5"/>
        <v>MadisonCiavattaToleia Park French LaceIntermediate 7-9Prelim</v>
      </c>
    </row>
    <row r="51" spans="1:57">
      <c r="A51" s="3" t="s">
        <v>273</v>
      </c>
      <c r="B51" s="3" t="s">
        <v>274</v>
      </c>
      <c r="C51" s="202" t="s">
        <v>42</v>
      </c>
      <c r="D51" s="202" t="s">
        <v>275</v>
      </c>
      <c r="E51" s="216">
        <v>9</v>
      </c>
      <c r="F51" s="88">
        <f t="shared" si="4"/>
        <v>131</v>
      </c>
      <c r="G51" s="78">
        <f>S51+AU51</f>
        <v>38</v>
      </c>
      <c r="H51" s="75">
        <v>1.1000000000000001</v>
      </c>
      <c r="I51" s="11"/>
      <c r="J51" s="107"/>
      <c r="K51" s="78"/>
      <c r="L51" s="75">
        <v>1.2</v>
      </c>
      <c r="M51" s="11">
        <v>61.786000000000001</v>
      </c>
      <c r="N51" s="155">
        <v>16</v>
      </c>
      <c r="O51" s="162">
        <v>16</v>
      </c>
      <c r="P51" s="19">
        <v>1.1000000000000001</v>
      </c>
      <c r="Q51" s="11">
        <v>65.2</v>
      </c>
      <c r="R51" s="88">
        <v>19</v>
      </c>
      <c r="S51" s="78">
        <v>19</v>
      </c>
      <c r="T51" s="19">
        <v>1.2</v>
      </c>
      <c r="U51" s="11">
        <v>62.231999999999999</v>
      </c>
      <c r="V51" s="156">
        <v>17</v>
      </c>
      <c r="W51" s="181"/>
      <c r="X51" s="75">
        <v>1.1000000000000001</v>
      </c>
      <c r="Y51" s="11"/>
      <c r="Z51" s="107"/>
      <c r="AA51" s="78"/>
      <c r="AB51" s="76">
        <v>1.2</v>
      </c>
      <c r="AC51" s="11"/>
      <c r="AD51" s="155"/>
      <c r="AE51" s="162"/>
      <c r="AF51" s="19">
        <v>1.2</v>
      </c>
      <c r="AG51" s="371">
        <v>0.6411</v>
      </c>
      <c r="AH51" s="88">
        <v>21</v>
      </c>
      <c r="AI51" s="78">
        <v>16</v>
      </c>
      <c r="AJ51" s="19">
        <v>1.3</v>
      </c>
      <c r="AK51" s="371">
        <v>0.63854999999999995</v>
      </c>
      <c r="AL51" s="88">
        <v>21</v>
      </c>
      <c r="AM51" s="78">
        <v>16</v>
      </c>
      <c r="AN51" s="76">
        <v>1.2</v>
      </c>
      <c r="AO51" s="11">
        <v>65.180000000000007</v>
      </c>
      <c r="AP51" s="88">
        <v>18</v>
      </c>
      <c r="AQ51" s="78">
        <f>AP51</f>
        <v>18</v>
      </c>
      <c r="AR51" s="76">
        <v>1.3</v>
      </c>
      <c r="AS51" s="11">
        <v>69.38</v>
      </c>
      <c r="AT51" s="88">
        <v>19</v>
      </c>
      <c r="AU51" s="78">
        <f>AT51</f>
        <v>19</v>
      </c>
      <c r="AV51" s="76">
        <v>1.2</v>
      </c>
      <c r="AW51" s="11"/>
      <c r="AX51" s="88"/>
      <c r="AY51" s="78"/>
      <c r="AZ51" s="19">
        <v>1.3</v>
      </c>
      <c r="BA51" s="11"/>
      <c r="BB51" s="88"/>
      <c r="BC51" s="78"/>
      <c r="BD51" s="298" t="s">
        <v>490</v>
      </c>
      <c r="BE51" t="str">
        <f t="shared" si="5"/>
        <v>Maggie-roseMallordMaster BinksIntermediate 7-9Prelim</v>
      </c>
    </row>
    <row r="52" spans="1:57">
      <c r="A52" s="3" t="s">
        <v>273</v>
      </c>
      <c r="B52" s="3" t="s">
        <v>274</v>
      </c>
      <c r="C52" s="202" t="s">
        <v>321</v>
      </c>
      <c r="D52" s="202" t="s">
        <v>322</v>
      </c>
      <c r="E52" s="216">
        <v>9</v>
      </c>
      <c r="F52" s="88">
        <f>J52+R52+Z52+AD52+AH52+AL52+AP52+AT52</f>
        <v>36</v>
      </c>
      <c r="G52" s="78">
        <f>SUM(S52,AI52)</f>
        <v>31</v>
      </c>
      <c r="H52" s="75">
        <v>1.1000000000000001</v>
      </c>
      <c r="I52" s="11"/>
      <c r="J52" s="107"/>
      <c r="K52" s="78"/>
      <c r="L52" s="75">
        <v>1.2</v>
      </c>
      <c r="M52" s="242">
        <v>58.929000000000002</v>
      </c>
      <c r="N52" s="234" t="s">
        <v>31</v>
      </c>
      <c r="O52" s="162"/>
      <c r="P52" s="19">
        <v>1.1000000000000001</v>
      </c>
      <c r="Q52" s="11">
        <v>62.2</v>
      </c>
      <c r="R52" s="88">
        <v>17</v>
      </c>
      <c r="S52" s="78">
        <v>17</v>
      </c>
      <c r="T52" s="19">
        <v>1.2</v>
      </c>
      <c r="U52" s="11">
        <v>59.106999999999999</v>
      </c>
      <c r="V52" s="156" t="s">
        <v>31</v>
      </c>
      <c r="W52" s="181"/>
      <c r="X52" s="75">
        <v>1.1000000000000001</v>
      </c>
      <c r="Y52" s="11"/>
      <c r="Z52" s="107"/>
      <c r="AA52" s="78"/>
      <c r="AB52" s="76">
        <v>1.2</v>
      </c>
      <c r="AC52" s="11"/>
      <c r="AD52" s="155"/>
      <c r="AE52" s="162"/>
      <c r="AF52" s="19">
        <v>1.2</v>
      </c>
      <c r="AG52" s="371">
        <v>0.61609999999999998</v>
      </c>
      <c r="AH52" s="88">
        <v>19</v>
      </c>
      <c r="AI52" s="78">
        <v>14</v>
      </c>
      <c r="AJ52" s="19">
        <v>1.3</v>
      </c>
      <c r="AK52" s="371">
        <v>0.57814999999999994</v>
      </c>
      <c r="AL52" s="88">
        <v>0</v>
      </c>
      <c r="AM52" s="78" t="s">
        <v>493</v>
      </c>
      <c r="AN52" s="76">
        <v>1.2</v>
      </c>
      <c r="AO52" s="11"/>
      <c r="AP52" s="88"/>
      <c r="AQ52" s="78"/>
      <c r="AR52" s="76">
        <v>1.3</v>
      </c>
      <c r="AS52" s="11"/>
      <c r="AT52" s="88"/>
      <c r="AU52" s="78"/>
      <c r="AV52" s="76">
        <v>1.2</v>
      </c>
      <c r="AW52" s="11"/>
      <c r="AX52" s="88"/>
      <c r="AY52" s="78"/>
      <c r="AZ52" s="19">
        <v>1.3</v>
      </c>
      <c r="BA52" s="11"/>
      <c r="BB52" s="88"/>
      <c r="BC52" s="78"/>
      <c r="BD52" s="298" t="s">
        <v>490</v>
      </c>
      <c r="BE52" t="str">
        <f t="shared" si="5"/>
        <v>Maggie-roseMallordThe Brumby Strikes Back Intermediate 7-9Prelim</v>
      </c>
    </row>
    <row r="53" spans="1:57">
      <c r="A53" s="3" t="s">
        <v>74</v>
      </c>
      <c r="B53" s="3" t="s">
        <v>75</v>
      </c>
      <c r="C53" s="202" t="s">
        <v>63</v>
      </c>
      <c r="D53" s="202" t="s">
        <v>76</v>
      </c>
      <c r="E53" s="216"/>
      <c r="F53" s="88">
        <f>J53+R53+V53+Z53+AD53+AH53+AL53+AP53+AT53</f>
        <v>0</v>
      </c>
      <c r="G53" s="78"/>
      <c r="H53" s="75">
        <v>1.1000000000000001</v>
      </c>
      <c r="I53" s="11"/>
      <c r="J53" s="107"/>
      <c r="K53" s="78"/>
      <c r="L53" s="75">
        <v>1.2</v>
      </c>
      <c r="M53" s="242">
        <v>59.463999999999999</v>
      </c>
      <c r="N53" s="234" t="s">
        <v>31</v>
      </c>
      <c r="O53" s="162"/>
      <c r="P53" s="19">
        <v>1.1000000000000001</v>
      </c>
      <c r="Q53" s="11"/>
      <c r="R53" s="88"/>
      <c r="S53" s="78"/>
      <c r="T53" s="19">
        <v>1.2</v>
      </c>
      <c r="U53" s="11"/>
      <c r="V53" s="156"/>
      <c r="W53" s="181"/>
      <c r="X53" s="75">
        <v>1.1000000000000001</v>
      </c>
      <c r="Y53" s="11"/>
      <c r="Z53" s="107"/>
      <c r="AA53" s="78"/>
      <c r="AB53" s="76">
        <v>1.2</v>
      </c>
      <c r="AC53" s="11"/>
      <c r="AD53" s="155"/>
      <c r="AE53" s="162"/>
      <c r="AF53" s="19">
        <v>1.2</v>
      </c>
      <c r="AG53" s="371">
        <v>0</v>
      </c>
      <c r="AH53" s="88">
        <v>0</v>
      </c>
      <c r="AI53" s="78"/>
      <c r="AJ53" s="19">
        <v>1.3</v>
      </c>
      <c r="AK53" s="371">
        <v>0</v>
      </c>
      <c r="AL53" s="88">
        <v>0</v>
      </c>
      <c r="AM53" s="78" t="s">
        <v>493</v>
      </c>
      <c r="AN53" s="76">
        <v>1.2</v>
      </c>
      <c r="AO53" s="11"/>
      <c r="AP53" s="88"/>
      <c r="AQ53" s="78"/>
      <c r="AR53" s="76">
        <v>1.3</v>
      </c>
      <c r="AS53" s="11"/>
      <c r="AT53" s="88"/>
      <c r="AU53" s="78"/>
      <c r="AV53" s="76">
        <v>1.2</v>
      </c>
      <c r="AW53" s="11"/>
      <c r="AX53" s="88"/>
      <c r="AY53" s="78"/>
      <c r="AZ53" s="19">
        <v>1.3</v>
      </c>
      <c r="BA53" s="11"/>
      <c r="BB53" s="88"/>
      <c r="BC53" s="78"/>
      <c r="BD53" s="298" t="s">
        <v>490</v>
      </c>
      <c r="BE53" t="str">
        <f t="shared" si="5"/>
        <v>GeorginaGleesonCurralong Park FrankelIntermediate 7-9Prelim</v>
      </c>
    </row>
    <row r="54" spans="1:57">
      <c r="A54" s="221" t="s">
        <v>36</v>
      </c>
      <c r="B54" s="221" t="s">
        <v>71</v>
      </c>
      <c r="C54" s="221" t="s">
        <v>72</v>
      </c>
      <c r="D54" s="225" t="s">
        <v>73</v>
      </c>
      <c r="E54" s="205">
        <v>8</v>
      </c>
      <c r="F54" s="88">
        <f t="shared" si="4"/>
        <v>18</v>
      </c>
      <c r="G54" s="78"/>
      <c r="H54" s="75">
        <v>1.1000000000000001</v>
      </c>
      <c r="I54" s="11"/>
      <c r="J54" s="107"/>
      <c r="K54" s="78"/>
      <c r="L54" s="75">
        <v>1.2</v>
      </c>
      <c r="M54" s="11">
        <v>62.978999999999999</v>
      </c>
      <c r="N54" s="155">
        <v>18</v>
      </c>
      <c r="O54" s="162">
        <v>18</v>
      </c>
      <c r="P54" s="19">
        <v>1.1000000000000001</v>
      </c>
      <c r="Q54" s="11"/>
      <c r="R54" s="88"/>
      <c r="S54" s="78"/>
      <c r="T54" s="19">
        <v>1.2</v>
      </c>
      <c r="U54" s="11"/>
      <c r="V54" s="156"/>
      <c r="W54" s="181"/>
      <c r="X54" s="75">
        <v>1.1000000000000001</v>
      </c>
      <c r="Y54" s="11"/>
      <c r="Z54" s="107"/>
      <c r="AA54" s="78"/>
      <c r="AB54" s="76">
        <v>1.2</v>
      </c>
      <c r="AC54" s="11"/>
      <c r="AD54" s="155"/>
      <c r="AE54" s="162"/>
      <c r="AF54" s="19">
        <v>1.2</v>
      </c>
      <c r="AG54" s="371">
        <v>0</v>
      </c>
      <c r="AH54" s="88">
        <v>0</v>
      </c>
      <c r="AI54" s="78"/>
      <c r="AJ54" s="19">
        <v>1.3</v>
      </c>
      <c r="AK54" s="371">
        <v>0</v>
      </c>
      <c r="AL54" s="88">
        <v>0</v>
      </c>
      <c r="AM54" s="78" t="s">
        <v>493</v>
      </c>
      <c r="AN54" s="76">
        <v>1.2</v>
      </c>
      <c r="AO54" s="11"/>
      <c r="AP54" s="88"/>
      <c r="AQ54" s="78"/>
      <c r="AR54" s="76">
        <v>1.3</v>
      </c>
      <c r="AS54" s="11"/>
      <c r="AT54" s="88"/>
      <c r="AU54" s="78"/>
      <c r="AV54" s="76">
        <v>1.2</v>
      </c>
      <c r="AW54" s="11"/>
      <c r="AX54" s="88"/>
      <c r="AY54" s="78"/>
      <c r="AZ54" s="19">
        <v>1.3</v>
      </c>
      <c r="BA54" s="11"/>
      <c r="BB54" s="88"/>
      <c r="BC54" s="78"/>
      <c r="BD54" s="298" t="s">
        <v>490</v>
      </c>
      <c r="BE54" t="str">
        <f t="shared" si="5"/>
        <v>EllieDigneyThere and back again Intermediate 7-9Prelim</v>
      </c>
    </row>
    <row r="55" spans="1:57">
      <c r="A55" s="221" t="s">
        <v>143</v>
      </c>
      <c r="B55" s="221" t="s">
        <v>37</v>
      </c>
      <c r="C55" s="221" t="s">
        <v>38</v>
      </c>
      <c r="D55" s="225" t="s">
        <v>209</v>
      </c>
      <c r="E55" s="216">
        <v>8</v>
      </c>
      <c r="F55" s="88">
        <f t="shared" si="4"/>
        <v>81</v>
      </c>
      <c r="G55" s="78">
        <f>SUM(AM55,AQ55)</f>
        <v>37</v>
      </c>
      <c r="H55" s="75">
        <v>1.1000000000000001</v>
      </c>
      <c r="I55" s="11"/>
      <c r="J55" s="107"/>
      <c r="K55" s="78"/>
      <c r="L55" s="75">
        <v>1.2</v>
      </c>
      <c r="M55" s="11">
        <v>62.856999999999999</v>
      </c>
      <c r="N55" s="155">
        <v>17</v>
      </c>
      <c r="O55" s="162">
        <v>17</v>
      </c>
      <c r="P55" s="19">
        <v>1.1000000000000001</v>
      </c>
      <c r="Q55" s="11"/>
      <c r="R55" s="88"/>
      <c r="S55" s="78"/>
      <c r="T55" s="19">
        <v>1.2</v>
      </c>
      <c r="U55" s="11"/>
      <c r="V55" s="156"/>
      <c r="W55" s="181"/>
      <c r="X55" s="75">
        <v>1.1000000000000001</v>
      </c>
      <c r="Y55" s="11"/>
      <c r="Z55" s="107"/>
      <c r="AA55" s="78"/>
      <c r="AB55" s="76">
        <v>1.2</v>
      </c>
      <c r="AC55" s="11"/>
      <c r="AD55" s="155"/>
      <c r="AE55" s="162"/>
      <c r="AF55" s="19">
        <v>1.2</v>
      </c>
      <c r="AG55" s="371">
        <v>0.65180000000000005</v>
      </c>
      <c r="AH55" s="88">
        <v>22</v>
      </c>
      <c r="AI55" s="78">
        <v>17</v>
      </c>
      <c r="AJ55" s="19">
        <v>1.3</v>
      </c>
      <c r="AK55" s="371">
        <v>0.66250000000000009</v>
      </c>
      <c r="AL55" s="88">
        <v>23</v>
      </c>
      <c r="AM55" s="78">
        <v>18</v>
      </c>
      <c r="AN55" s="76">
        <v>1.2</v>
      </c>
      <c r="AO55" s="11">
        <v>68.569999999999993</v>
      </c>
      <c r="AP55" s="88">
        <v>19</v>
      </c>
      <c r="AQ55" s="78">
        <f>AP55</f>
        <v>19</v>
      </c>
      <c r="AR55" s="76">
        <v>1.3</v>
      </c>
      <c r="AS55" s="11"/>
      <c r="AT55" s="88"/>
      <c r="AU55" s="78"/>
      <c r="AV55" s="76">
        <v>1.2</v>
      </c>
      <c r="AW55" s="11"/>
      <c r="AX55" s="88"/>
      <c r="AY55" s="78"/>
      <c r="AZ55" s="19">
        <v>1.3</v>
      </c>
      <c r="BA55" s="11"/>
      <c r="BB55" s="88"/>
      <c r="BC55" s="78"/>
      <c r="BD55" s="298" t="s">
        <v>490</v>
      </c>
      <c r="BE55" t="str">
        <f t="shared" si="5"/>
        <v>SophieMeaneyDiamonte Show TimeIntermediate 7-9Prelim</v>
      </c>
    </row>
    <row r="56" spans="1:57">
      <c r="A56" s="3" t="s">
        <v>190</v>
      </c>
      <c r="B56" s="3" t="s">
        <v>191</v>
      </c>
      <c r="C56" s="202" t="s">
        <v>79</v>
      </c>
      <c r="D56" s="202" t="s">
        <v>192</v>
      </c>
      <c r="E56" s="216"/>
      <c r="F56" s="88">
        <f t="shared" si="4"/>
        <v>35</v>
      </c>
      <c r="G56" s="78"/>
      <c r="H56" s="75">
        <v>1.1000000000000001</v>
      </c>
      <c r="I56" s="11">
        <v>64.599999999999994</v>
      </c>
      <c r="J56" s="107">
        <v>20</v>
      </c>
      <c r="K56" s="78">
        <v>20</v>
      </c>
      <c r="L56" s="75">
        <v>1.2</v>
      </c>
      <c r="M56" s="11">
        <v>61.25</v>
      </c>
      <c r="N56" s="155">
        <v>15</v>
      </c>
      <c r="O56" s="162">
        <v>15</v>
      </c>
      <c r="P56" s="19">
        <v>1.1000000000000001</v>
      </c>
      <c r="Q56" s="11"/>
      <c r="R56" s="88"/>
      <c r="S56" s="78"/>
      <c r="T56" s="19">
        <v>1.2</v>
      </c>
      <c r="U56" s="11"/>
      <c r="V56" s="156"/>
      <c r="W56" s="181"/>
      <c r="X56" s="75">
        <v>1.1000000000000001</v>
      </c>
      <c r="Y56" s="11"/>
      <c r="Z56" s="107"/>
      <c r="AA56" s="78"/>
      <c r="AB56" s="76">
        <v>1.2</v>
      </c>
      <c r="AC56" s="11"/>
      <c r="AD56" s="155"/>
      <c r="AE56" s="162"/>
      <c r="AF56" s="19">
        <v>1.2</v>
      </c>
      <c r="AG56" s="371">
        <v>0</v>
      </c>
      <c r="AH56" s="88">
        <v>0</v>
      </c>
      <c r="AI56" s="78"/>
      <c r="AJ56" s="19">
        <v>1.3</v>
      </c>
      <c r="AK56" s="371">
        <v>0</v>
      </c>
      <c r="AL56" s="88">
        <v>0</v>
      </c>
      <c r="AM56" s="78" t="s">
        <v>493</v>
      </c>
      <c r="AN56" s="76">
        <v>1.2</v>
      </c>
      <c r="AO56" s="11"/>
      <c r="AP56" s="88"/>
      <c r="AQ56" s="78"/>
      <c r="AR56" s="76">
        <v>1.3</v>
      </c>
      <c r="AS56" s="11"/>
      <c r="AT56" s="88"/>
      <c r="AU56" s="78"/>
      <c r="AV56" s="76">
        <v>1.2</v>
      </c>
      <c r="AW56" s="11"/>
      <c r="AX56" s="88"/>
      <c r="AY56" s="78"/>
      <c r="AZ56" s="19">
        <v>1.3</v>
      </c>
      <c r="BA56" s="11"/>
      <c r="BB56" s="88"/>
      <c r="BC56" s="78"/>
      <c r="BD56" s="298" t="s">
        <v>490</v>
      </c>
      <c r="BE56" t="str">
        <f t="shared" si="5"/>
        <v>GeorgiaPriorSP WillaIntermediate 7-9Prelim</v>
      </c>
    </row>
    <row r="57" spans="1:57">
      <c r="A57" s="3" t="s">
        <v>201</v>
      </c>
      <c r="B57" s="3" t="s">
        <v>202</v>
      </c>
      <c r="C57" s="202" t="s">
        <v>203</v>
      </c>
      <c r="D57" s="202" t="s">
        <v>204</v>
      </c>
      <c r="E57" s="216"/>
      <c r="F57" s="88">
        <f t="shared" si="4"/>
        <v>37</v>
      </c>
      <c r="G57" s="78"/>
      <c r="H57" s="75">
        <v>1.1000000000000001</v>
      </c>
      <c r="I57" s="11"/>
      <c r="J57" s="107"/>
      <c r="K57" s="78"/>
      <c r="L57" s="75">
        <v>1.2</v>
      </c>
      <c r="M57" s="11"/>
      <c r="N57" s="155"/>
      <c r="O57" s="162"/>
      <c r="P57" s="19">
        <v>1.1000000000000001</v>
      </c>
      <c r="Q57" s="11">
        <v>64.7</v>
      </c>
      <c r="R57" s="88">
        <v>18</v>
      </c>
      <c r="S57" s="78">
        <v>18</v>
      </c>
      <c r="T57" s="19">
        <v>1.2</v>
      </c>
      <c r="U57" s="11">
        <v>66.338999999999999</v>
      </c>
      <c r="V57" s="156">
        <v>19</v>
      </c>
      <c r="W57" s="181">
        <v>19</v>
      </c>
      <c r="X57" s="75">
        <v>1.1000000000000001</v>
      </c>
      <c r="Y57" s="11"/>
      <c r="Z57" s="107"/>
      <c r="AA57" s="78"/>
      <c r="AB57" s="76">
        <v>1.2</v>
      </c>
      <c r="AC57" s="11"/>
      <c r="AD57" s="155"/>
      <c r="AE57" s="162"/>
      <c r="AF57" s="19">
        <v>1.2</v>
      </c>
      <c r="AG57" s="371">
        <v>0</v>
      </c>
      <c r="AH57" s="88">
        <v>0</v>
      </c>
      <c r="AI57" s="78"/>
      <c r="AJ57" s="19">
        <v>1.3</v>
      </c>
      <c r="AK57" s="371">
        <v>0</v>
      </c>
      <c r="AL57" s="88">
        <v>0</v>
      </c>
      <c r="AM57" s="78" t="s">
        <v>493</v>
      </c>
      <c r="AN57" s="76">
        <v>1.2</v>
      </c>
      <c r="AO57" s="11"/>
      <c r="AP57" s="88"/>
      <c r="AQ57" s="78"/>
      <c r="AR57" s="76">
        <v>1.3</v>
      </c>
      <c r="AS57" s="11"/>
      <c r="AT57" s="88"/>
      <c r="AU57" s="78"/>
      <c r="AV57" s="76">
        <v>1.2</v>
      </c>
      <c r="AW57" s="11"/>
      <c r="AX57" s="88"/>
      <c r="AY57" s="78"/>
      <c r="AZ57" s="19">
        <v>1.3</v>
      </c>
      <c r="BA57" s="11"/>
      <c r="BB57" s="88"/>
      <c r="BC57" s="78"/>
      <c r="BD57" s="298" t="s">
        <v>490</v>
      </c>
      <c r="BE57" t="str">
        <f t="shared" si="5"/>
        <v>MadisonCiavattaCorncrakeIntermediate 7-9Prelim</v>
      </c>
    </row>
    <row r="58" spans="1:57">
      <c r="A58" s="3" t="s">
        <v>197</v>
      </c>
      <c r="B58" s="3" t="s">
        <v>198</v>
      </c>
      <c r="C58" s="202" t="s">
        <v>199</v>
      </c>
      <c r="D58" s="202" t="s">
        <v>200</v>
      </c>
      <c r="E58" s="216"/>
      <c r="F58" s="88">
        <f t="shared" si="4"/>
        <v>52</v>
      </c>
      <c r="G58" s="78">
        <f>SUM(K58,W58)</f>
        <v>36</v>
      </c>
      <c r="H58" s="75">
        <v>1.1000000000000001</v>
      </c>
      <c r="I58" s="11">
        <v>62.8</v>
      </c>
      <c r="J58" s="107">
        <v>18</v>
      </c>
      <c r="K58" s="78">
        <v>18</v>
      </c>
      <c r="L58" s="75">
        <v>1.2</v>
      </c>
      <c r="M58" s="11"/>
      <c r="N58" s="155"/>
      <c r="O58" s="162"/>
      <c r="P58" s="19">
        <v>1.1000000000000001</v>
      </c>
      <c r="Q58" s="11">
        <v>60.8</v>
      </c>
      <c r="R58" s="88">
        <v>16</v>
      </c>
      <c r="S58" s="78">
        <v>16</v>
      </c>
      <c r="T58" s="19">
        <v>1.2</v>
      </c>
      <c r="U58" s="11">
        <v>63.393000000000001</v>
      </c>
      <c r="V58" s="156">
        <v>18</v>
      </c>
      <c r="W58" s="181">
        <v>18</v>
      </c>
      <c r="X58" s="75">
        <v>1.1000000000000001</v>
      </c>
      <c r="Y58" s="11"/>
      <c r="Z58" s="107"/>
      <c r="AA58" s="78"/>
      <c r="AB58" s="76">
        <v>1.2</v>
      </c>
      <c r="AC58" s="11"/>
      <c r="AD58" s="155"/>
      <c r="AE58" s="162"/>
      <c r="AF58" s="19">
        <v>1.2</v>
      </c>
      <c r="AG58" s="371">
        <v>0</v>
      </c>
      <c r="AH58" s="88">
        <v>0</v>
      </c>
      <c r="AI58" s="78"/>
      <c r="AJ58" s="19">
        <v>1.3</v>
      </c>
      <c r="AK58" s="371">
        <v>0</v>
      </c>
      <c r="AL58" s="88">
        <v>0</v>
      </c>
      <c r="AM58" s="78" t="s">
        <v>493</v>
      </c>
      <c r="AN58" s="76">
        <v>1.2</v>
      </c>
      <c r="AO58" s="11"/>
      <c r="AP58" s="88"/>
      <c r="AQ58" s="78"/>
      <c r="AR58" s="76">
        <v>1.3</v>
      </c>
      <c r="AS58" s="11"/>
      <c r="AT58" s="88"/>
      <c r="AU58" s="78"/>
      <c r="AV58" s="76">
        <v>1.2</v>
      </c>
      <c r="AW58" s="11"/>
      <c r="AX58" s="88"/>
      <c r="AY58" s="78"/>
      <c r="AZ58" s="19">
        <v>1.3</v>
      </c>
      <c r="BA58" s="11"/>
      <c r="BB58" s="88"/>
      <c r="BC58" s="78"/>
      <c r="BD58" s="298" t="s">
        <v>490</v>
      </c>
      <c r="BE58" t="str">
        <f t="shared" si="5"/>
        <v>KayleeMcewenCoco Equestrian SophieIntermediate 7-9Prelim</v>
      </c>
    </row>
    <row r="59" spans="1:57">
      <c r="A59" s="3" t="s">
        <v>276</v>
      </c>
      <c r="B59" s="3" t="s">
        <v>78</v>
      </c>
      <c r="C59" s="202" t="s">
        <v>79</v>
      </c>
      <c r="D59" s="202" t="s">
        <v>277</v>
      </c>
      <c r="E59" s="216"/>
      <c r="F59" s="88">
        <f t="shared" si="4"/>
        <v>0</v>
      </c>
      <c r="G59" s="78"/>
      <c r="H59" s="75">
        <v>1.1000000000000001</v>
      </c>
      <c r="I59" s="11"/>
      <c r="J59" s="107"/>
      <c r="K59" s="78"/>
      <c r="L59" s="75">
        <v>1.2</v>
      </c>
      <c r="M59" s="11"/>
      <c r="N59" s="155"/>
      <c r="O59" s="162"/>
      <c r="P59" s="19">
        <v>1.1000000000000001</v>
      </c>
      <c r="Q59" s="11"/>
      <c r="R59" s="88"/>
      <c r="S59" s="78"/>
      <c r="T59" s="19">
        <v>1.2</v>
      </c>
      <c r="U59" s="11"/>
      <c r="V59" s="156"/>
      <c r="W59" s="181"/>
      <c r="X59" s="75">
        <v>1.1000000000000001</v>
      </c>
      <c r="Y59" s="11"/>
      <c r="Z59" s="107"/>
      <c r="AA59" s="78"/>
      <c r="AB59" s="76">
        <v>1.2</v>
      </c>
      <c r="AC59" s="11"/>
      <c r="AD59" s="155"/>
      <c r="AE59" s="162"/>
      <c r="AF59" s="19">
        <v>1.2</v>
      </c>
      <c r="AG59" s="371">
        <v>0</v>
      </c>
      <c r="AH59" s="88">
        <v>0</v>
      </c>
      <c r="AI59" s="78"/>
      <c r="AJ59" s="19">
        <v>1.3</v>
      </c>
      <c r="AK59" s="371">
        <v>0</v>
      </c>
      <c r="AL59" s="88">
        <v>0</v>
      </c>
      <c r="AM59" s="78" t="s">
        <v>493</v>
      </c>
      <c r="AN59" s="76">
        <v>1.2</v>
      </c>
      <c r="AO59" s="11"/>
      <c r="AP59" s="88"/>
      <c r="AQ59" s="78"/>
      <c r="AR59" s="76">
        <v>1.3</v>
      </c>
      <c r="AS59" s="11"/>
      <c r="AT59" s="88"/>
      <c r="AU59" s="78"/>
      <c r="AV59" s="76">
        <v>1.2</v>
      </c>
      <c r="AW59" s="11"/>
      <c r="AX59" s="88"/>
      <c r="AY59" s="78"/>
      <c r="AZ59" s="19">
        <v>1.3</v>
      </c>
      <c r="BA59" s="11"/>
      <c r="BB59" s="88"/>
      <c r="BC59" s="78"/>
      <c r="BD59" s="298" t="s">
        <v>490</v>
      </c>
      <c r="BE59" t="str">
        <f t="shared" si="5"/>
        <v>SarahWottonESB Irish Illusion Intermediate 7-9Prelim</v>
      </c>
    </row>
    <row r="60" spans="1:57">
      <c r="A60" s="3" t="s">
        <v>210</v>
      </c>
      <c r="B60" s="3" t="s">
        <v>96</v>
      </c>
      <c r="C60" s="202" t="s">
        <v>97</v>
      </c>
      <c r="D60" s="202" t="s">
        <v>211</v>
      </c>
      <c r="E60" s="216"/>
      <c r="F60" s="88">
        <f t="shared" si="4"/>
        <v>14</v>
      </c>
      <c r="G60" s="78"/>
      <c r="H60" s="75">
        <v>1.1000000000000001</v>
      </c>
      <c r="I60" s="11"/>
      <c r="J60" s="107"/>
      <c r="K60" s="78"/>
      <c r="L60" s="75">
        <v>1.2</v>
      </c>
      <c r="M60" s="11">
        <v>60.179000000000002</v>
      </c>
      <c r="N60" s="155">
        <v>14</v>
      </c>
      <c r="O60" s="162">
        <v>14</v>
      </c>
      <c r="P60" s="19">
        <v>1.1000000000000001</v>
      </c>
      <c r="R60" s="88"/>
      <c r="S60" s="78"/>
      <c r="T60" s="19">
        <v>1.2</v>
      </c>
      <c r="V60" s="156"/>
      <c r="W60" s="181"/>
      <c r="X60" s="75">
        <v>1.1000000000000001</v>
      </c>
      <c r="Y60" s="11"/>
      <c r="Z60" s="107"/>
      <c r="AA60" s="78"/>
      <c r="AB60" s="76">
        <v>1.2</v>
      </c>
      <c r="AC60" s="11"/>
      <c r="AD60" s="155"/>
      <c r="AE60" s="162"/>
      <c r="AF60" s="19">
        <v>1.2</v>
      </c>
      <c r="AG60" s="371">
        <v>0</v>
      </c>
      <c r="AH60" s="88">
        <v>0</v>
      </c>
      <c r="AI60" s="78"/>
      <c r="AJ60" s="19">
        <v>1.3</v>
      </c>
      <c r="AK60" s="371">
        <v>0</v>
      </c>
      <c r="AL60" s="88">
        <v>0</v>
      </c>
      <c r="AM60" s="78" t="s">
        <v>493</v>
      </c>
      <c r="AN60" s="76">
        <v>1.2</v>
      </c>
      <c r="AO60" s="11"/>
      <c r="AP60" s="88"/>
      <c r="AQ60" s="78"/>
      <c r="AR60" s="76">
        <v>1.3</v>
      </c>
      <c r="AS60" s="11"/>
      <c r="AT60" s="88"/>
      <c r="AU60" s="78"/>
      <c r="AV60" s="76">
        <v>1.2</v>
      </c>
      <c r="AW60" s="11"/>
      <c r="AX60" s="88"/>
      <c r="AY60" s="78"/>
      <c r="AZ60" s="19">
        <v>1.3</v>
      </c>
      <c r="BA60" s="11"/>
      <c r="BB60" s="88"/>
      <c r="BC60" s="78"/>
      <c r="BD60" s="298" t="s">
        <v>490</v>
      </c>
      <c r="BE60" t="str">
        <f t="shared" si="5"/>
        <v>Starla MurphyMurphyBordershow SuperstarIntermediate 7-9Prelim</v>
      </c>
    </row>
    <row r="61" spans="1:57">
      <c r="A61" s="3" t="s">
        <v>91</v>
      </c>
      <c r="B61" s="3" t="s">
        <v>92</v>
      </c>
      <c r="C61" s="202" t="s">
        <v>93</v>
      </c>
      <c r="D61" s="3" t="s">
        <v>94</v>
      </c>
      <c r="E61" s="216"/>
      <c r="F61" s="88">
        <f t="shared" si="4"/>
        <v>0</v>
      </c>
      <c r="G61" s="78"/>
      <c r="H61" s="75">
        <v>1.1000000000000001</v>
      </c>
      <c r="I61" s="11"/>
      <c r="J61" s="107"/>
      <c r="K61" s="78"/>
      <c r="L61" s="75">
        <v>1.2</v>
      </c>
      <c r="M61" s="11"/>
      <c r="N61" s="155"/>
      <c r="O61" s="162"/>
      <c r="P61" s="19">
        <v>1.1000000000000001</v>
      </c>
      <c r="Q61" s="11"/>
      <c r="R61" s="88"/>
      <c r="S61" s="78"/>
      <c r="T61" s="19">
        <v>1.2</v>
      </c>
      <c r="U61" s="11"/>
      <c r="V61" s="156"/>
      <c r="W61" s="181"/>
      <c r="X61" s="75">
        <v>1.1000000000000001</v>
      </c>
      <c r="Y61" s="11"/>
      <c r="Z61" s="107"/>
      <c r="AA61" s="78"/>
      <c r="AB61" s="76">
        <v>1.2</v>
      </c>
      <c r="AC61" s="11"/>
      <c r="AD61" s="155"/>
      <c r="AE61" s="162"/>
      <c r="AF61" s="19">
        <v>1.2</v>
      </c>
      <c r="AG61" s="371">
        <v>0</v>
      </c>
      <c r="AH61" s="88">
        <v>0</v>
      </c>
      <c r="AI61" s="78"/>
      <c r="AJ61" s="19">
        <v>1.3</v>
      </c>
      <c r="AK61" s="371">
        <v>0</v>
      </c>
      <c r="AL61" s="88">
        <v>0</v>
      </c>
      <c r="AM61" s="78" t="s">
        <v>493</v>
      </c>
      <c r="AN61" s="76">
        <v>1.2</v>
      </c>
      <c r="AO61" s="11"/>
      <c r="AP61" s="88"/>
      <c r="AQ61" s="78"/>
      <c r="AR61" s="76">
        <v>1.3</v>
      </c>
      <c r="AS61" s="11"/>
      <c r="AT61" s="88"/>
      <c r="AU61" s="78"/>
      <c r="AV61" s="76">
        <v>1.2</v>
      </c>
      <c r="AW61" s="11"/>
      <c r="AX61" s="88"/>
      <c r="AY61" s="78"/>
      <c r="AZ61" s="19">
        <v>1.3</v>
      </c>
      <c r="BA61" s="11"/>
      <c r="BB61" s="88"/>
      <c r="BC61" s="78"/>
      <c r="BD61" s="298" t="s">
        <v>490</v>
      </c>
      <c r="BE61" t="str">
        <f t="shared" si="5"/>
        <v>SelenaMartiensenLazy D White ChocolateIntermediate 7-9Prelim</v>
      </c>
    </row>
    <row r="62" spans="1:57">
      <c r="A62" s="3" t="s">
        <v>99</v>
      </c>
      <c r="B62" s="3" t="s">
        <v>217</v>
      </c>
      <c r="C62" s="202" t="s">
        <v>218</v>
      </c>
      <c r="D62" s="3" t="s">
        <v>219</v>
      </c>
      <c r="E62" s="216"/>
      <c r="F62" s="88">
        <f t="shared" si="4"/>
        <v>45</v>
      </c>
      <c r="G62" s="78"/>
      <c r="H62" s="75">
        <v>1.1000000000000001</v>
      </c>
      <c r="I62" s="11"/>
      <c r="J62" s="107"/>
      <c r="K62" s="78"/>
      <c r="L62" s="75">
        <v>1.2</v>
      </c>
      <c r="M62" s="11"/>
      <c r="N62" s="155"/>
      <c r="O62" s="162"/>
      <c r="P62" s="19">
        <v>1.1000000000000001</v>
      </c>
      <c r="Q62" s="11"/>
      <c r="R62" s="88"/>
      <c r="S62" s="78"/>
      <c r="T62" s="19">
        <v>1.2</v>
      </c>
      <c r="U62" s="11"/>
      <c r="V62" s="156"/>
      <c r="W62" s="181"/>
      <c r="X62" s="75">
        <v>1.1000000000000001</v>
      </c>
      <c r="Y62" s="11"/>
      <c r="Z62" s="107"/>
      <c r="AA62" s="78"/>
      <c r="AB62" s="76">
        <v>1.2</v>
      </c>
      <c r="AC62" s="11"/>
      <c r="AD62" s="155"/>
      <c r="AE62" s="162"/>
      <c r="AF62" s="19">
        <v>1.2</v>
      </c>
      <c r="AG62" s="371">
        <v>0.62680000000000002</v>
      </c>
      <c r="AH62" s="88">
        <v>20</v>
      </c>
      <c r="AI62" s="78">
        <v>15</v>
      </c>
      <c r="AJ62" s="19">
        <v>1.3</v>
      </c>
      <c r="AK62" s="371">
        <v>0.68855</v>
      </c>
      <c r="AL62" s="88">
        <v>25</v>
      </c>
      <c r="AM62" s="78">
        <v>20</v>
      </c>
      <c r="AN62" s="76">
        <v>1.2</v>
      </c>
      <c r="AO62" s="11"/>
      <c r="AP62" s="88"/>
      <c r="AQ62" s="78"/>
      <c r="AR62" s="76">
        <v>1.3</v>
      </c>
      <c r="AS62" s="11"/>
      <c r="AT62" s="88"/>
      <c r="AU62" s="78"/>
      <c r="AV62" s="76">
        <v>1.2</v>
      </c>
      <c r="AW62" s="11"/>
      <c r="AX62" s="88"/>
      <c r="AY62" s="78"/>
      <c r="AZ62" s="19">
        <v>1.3</v>
      </c>
      <c r="BA62" s="11"/>
      <c r="BB62" s="88"/>
      <c r="BC62" s="78"/>
      <c r="BD62" s="298" t="s">
        <v>490</v>
      </c>
      <c r="BE62" t="str">
        <f t="shared" si="5"/>
        <v>StellaMarcusRiving Gale ForceIntermediate 7-9Prelim</v>
      </c>
    </row>
    <row r="63" spans="1:57">
      <c r="A63" s="3" t="s">
        <v>352</v>
      </c>
      <c r="B63" s="3" t="s">
        <v>353</v>
      </c>
      <c r="C63" s="202" t="s">
        <v>63</v>
      </c>
      <c r="D63" s="3" t="s">
        <v>354</v>
      </c>
      <c r="E63" s="216"/>
      <c r="F63" s="88">
        <f t="shared" si="4"/>
        <v>56</v>
      </c>
      <c r="G63" s="78">
        <f>SUM(AA63,AI63)</f>
        <v>32</v>
      </c>
      <c r="H63" s="75">
        <v>1.1000000000000001</v>
      </c>
      <c r="I63" s="205"/>
      <c r="J63" s="316"/>
      <c r="K63" s="370"/>
      <c r="L63" s="75">
        <v>1.2</v>
      </c>
      <c r="M63" s="11"/>
      <c r="N63" s="155"/>
      <c r="O63" s="162"/>
      <c r="P63" s="19">
        <v>1.1000000000000001</v>
      </c>
      <c r="Q63" s="11"/>
      <c r="R63" s="88"/>
      <c r="S63" s="78"/>
      <c r="T63" s="19">
        <v>1.2</v>
      </c>
      <c r="U63" s="11"/>
      <c r="V63" s="156"/>
      <c r="W63" s="181"/>
      <c r="X63" s="75">
        <v>1.1000000000000001</v>
      </c>
      <c r="Y63" s="11">
        <v>61.2</v>
      </c>
      <c r="Z63" s="107">
        <v>19</v>
      </c>
      <c r="AA63" s="78">
        <v>19</v>
      </c>
      <c r="AB63" s="76">
        <v>1.2</v>
      </c>
      <c r="AC63" s="11">
        <v>64.286000000000001</v>
      </c>
      <c r="AD63" s="155">
        <v>19</v>
      </c>
      <c r="AE63" s="162">
        <v>19</v>
      </c>
      <c r="AF63" s="19">
        <v>1.2</v>
      </c>
      <c r="AG63" s="371">
        <v>0.60980000000000001</v>
      </c>
      <c r="AH63" s="88">
        <v>18</v>
      </c>
      <c r="AI63" s="78">
        <v>13</v>
      </c>
      <c r="AJ63" s="19">
        <v>1.3</v>
      </c>
      <c r="AK63" s="371">
        <v>0</v>
      </c>
      <c r="AL63" s="88">
        <v>0</v>
      </c>
      <c r="AM63" s="78" t="s">
        <v>493</v>
      </c>
      <c r="AN63" s="76">
        <v>1.2</v>
      </c>
      <c r="AO63" s="11"/>
      <c r="AP63" s="88"/>
      <c r="AQ63" s="78"/>
      <c r="AR63" s="76">
        <v>1.3</v>
      </c>
      <c r="AS63" s="11"/>
      <c r="AT63" s="88"/>
      <c r="AU63" s="78"/>
      <c r="AV63" s="76">
        <v>1.2</v>
      </c>
      <c r="AW63" s="11"/>
      <c r="AX63" s="88"/>
      <c r="AY63" s="78"/>
      <c r="AZ63" s="19">
        <v>1.3</v>
      </c>
      <c r="BA63" s="11"/>
      <c r="BB63" s="88"/>
      <c r="BC63" s="78"/>
      <c r="BD63" s="298" t="s">
        <v>490</v>
      </c>
      <c r="BE63" t="str">
        <f t="shared" si="5"/>
        <v>Charlotte LeonowKenlock Super SaluteIntermediate 7-9Prelim</v>
      </c>
    </row>
    <row r="64" spans="1:57">
      <c r="A64" s="3" t="s">
        <v>99</v>
      </c>
      <c r="B64" s="3" t="s">
        <v>217</v>
      </c>
      <c r="C64" s="202" t="s">
        <v>218</v>
      </c>
      <c r="D64" s="3" t="s">
        <v>220</v>
      </c>
      <c r="E64" s="216"/>
      <c r="F64" s="88">
        <f t="shared" si="4"/>
        <v>45</v>
      </c>
      <c r="G64" s="78"/>
      <c r="H64" s="75">
        <v>1.1000000000000001</v>
      </c>
      <c r="I64" s="11"/>
      <c r="J64" s="107"/>
      <c r="K64" s="78"/>
      <c r="L64" s="75">
        <v>1.2</v>
      </c>
      <c r="M64" s="11"/>
      <c r="N64" s="155"/>
      <c r="O64" s="162"/>
      <c r="P64" s="19">
        <v>1.1000000000000001</v>
      </c>
      <c r="Q64" s="11"/>
      <c r="R64" s="88"/>
      <c r="S64" s="78"/>
      <c r="T64" s="19">
        <v>1.2</v>
      </c>
      <c r="U64" s="11"/>
      <c r="V64" s="156"/>
      <c r="W64" s="181"/>
      <c r="X64" s="75">
        <v>1.1000000000000001</v>
      </c>
      <c r="Y64" s="11"/>
      <c r="Z64" s="107"/>
      <c r="AA64" s="78"/>
      <c r="AB64" s="76">
        <v>1.2</v>
      </c>
      <c r="AC64" s="11"/>
      <c r="AD64" s="155"/>
      <c r="AE64" s="162"/>
      <c r="AF64" s="19">
        <v>1.2</v>
      </c>
      <c r="AG64" s="371">
        <v>0.67320000000000002</v>
      </c>
      <c r="AH64" s="88">
        <v>23</v>
      </c>
      <c r="AI64" s="78">
        <v>18</v>
      </c>
      <c r="AJ64" s="19">
        <v>1.3</v>
      </c>
      <c r="AK64" s="371">
        <v>0.66039999999999999</v>
      </c>
      <c r="AL64" s="88">
        <v>22</v>
      </c>
      <c r="AM64" s="78">
        <v>17</v>
      </c>
      <c r="AN64" s="76">
        <v>1.2</v>
      </c>
      <c r="AO64" s="11"/>
      <c r="AP64" s="88"/>
      <c r="AQ64" s="78"/>
      <c r="AR64" s="76">
        <v>1.3</v>
      </c>
      <c r="AS64" s="11"/>
      <c r="AT64" s="88"/>
      <c r="AU64" s="78"/>
      <c r="AV64" s="76">
        <v>1.2</v>
      </c>
      <c r="AW64" s="11"/>
      <c r="AX64" s="88"/>
      <c r="AY64" s="78"/>
      <c r="AZ64" s="19">
        <v>1.3</v>
      </c>
      <c r="BA64" s="11"/>
      <c r="BB64" s="88"/>
      <c r="BC64" s="78"/>
      <c r="BD64" s="298" t="s">
        <v>490</v>
      </c>
      <c r="BE64" t="str">
        <f t="shared" si="5"/>
        <v>StellaMarcusRivington Folk RockIntermediate 7-9Prelim</v>
      </c>
    </row>
    <row r="65" spans="1:57">
      <c r="A65" s="3" t="s">
        <v>210</v>
      </c>
      <c r="B65" s="3" t="s">
        <v>96</v>
      </c>
      <c r="C65" s="202" t="s">
        <v>97</v>
      </c>
      <c r="D65" s="3" t="s">
        <v>98</v>
      </c>
      <c r="E65" s="216"/>
      <c r="F65" s="88">
        <f t="shared" si="4"/>
        <v>32</v>
      </c>
      <c r="G65" s="78"/>
      <c r="H65" s="75">
        <v>1.1000000000000001</v>
      </c>
      <c r="I65" s="11"/>
      <c r="J65" s="107"/>
      <c r="K65" s="78"/>
      <c r="L65" s="75">
        <v>1.2</v>
      </c>
      <c r="M65" s="11"/>
      <c r="N65" s="155"/>
      <c r="O65" s="162"/>
      <c r="P65" s="19">
        <v>1.1000000000000001</v>
      </c>
      <c r="Q65" s="11">
        <v>60.2</v>
      </c>
      <c r="R65" s="88">
        <v>15</v>
      </c>
      <c r="S65" s="78">
        <v>15</v>
      </c>
      <c r="T65" s="19">
        <v>1.2</v>
      </c>
      <c r="U65" s="11">
        <v>62.231999999999999</v>
      </c>
      <c r="V65" s="156">
        <v>17</v>
      </c>
      <c r="W65" s="181">
        <v>17</v>
      </c>
      <c r="X65" s="75">
        <v>1.1000000000000001</v>
      </c>
      <c r="Y65" s="11"/>
      <c r="Z65" s="107"/>
      <c r="AA65" s="78"/>
      <c r="AB65" s="76">
        <v>1.2</v>
      </c>
      <c r="AC65" s="11"/>
      <c r="AD65" s="155"/>
      <c r="AE65" s="162"/>
      <c r="AF65" s="19">
        <v>1.2</v>
      </c>
      <c r="AG65" s="371">
        <v>0</v>
      </c>
      <c r="AH65" s="88">
        <v>0</v>
      </c>
      <c r="AI65" s="78"/>
      <c r="AJ65" s="19">
        <v>1.3</v>
      </c>
      <c r="AK65" s="371">
        <v>0</v>
      </c>
      <c r="AL65" s="88">
        <v>0</v>
      </c>
      <c r="AM65" s="78" t="s">
        <v>493</v>
      </c>
      <c r="AN65" s="76">
        <v>1.2</v>
      </c>
      <c r="AO65" s="11"/>
      <c r="AP65" s="88"/>
      <c r="AQ65" s="78"/>
      <c r="AR65" s="76">
        <v>1.3</v>
      </c>
      <c r="AS65" s="11"/>
      <c r="AT65" s="88"/>
      <c r="AU65" s="78"/>
      <c r="AV65" s="76">
        <v>1.2</v>
      </c>
      <c r="AW65" s="11"/>
      <c r="AX65" s="88"/>
      <c r="AY65" s="78"/>
      <c r="AZ65" s="19">
        <v>1.3</v>
      </c>
      <c r="BA65" s="11"/>
      <c r="BB65" s="88"/>
      <c r="BC65" s="78"/>
      <c r="BD65" s="298" t="s">
        <v>490</v>
      </c>
      <c r="BE65" t="str">
        <f t="shared" si="5"/>
        <v>Starla MurphyMurphyShanlin Burn ContenderIntermediate 7-9Prelim</v>
      </c>
    </row>
    <row r="66" spans="1:57">
      <c r="A66" s="3" t="s">
        <v>77</v>
      </c>
      <c r="B66" s="3" t="s">
        <v>78</v>
      </c>
      <c r="C66" s="202" t="s">
        <v>79</v>
      </c>
      <c r="D66" s="202" t="s">
        <v>269</v>
      </c>
      <c r="E66" s="216"/>
      <c r="F66" s="88">
        <f t="shared" si="4"/>
        <v>20</v>
      </c>
      <c r="G66" s="78"/>
      <c r="H66" s="354">
        <v>1.1000000000000001</v>
      </c>
      <c r="I66" s="34"/>
      <c r="J66" s="109"/>
      <c r="K66" s="85"/>
      <c r="L66" s="354">
        <v>1.2</v>
      </c>
      <c r="M66" s="34">
        <v>65.179000000000002</v>
      </c>
      <c r="N66" s="89">
        <v>20</v>
      </c>
      <c r="O66" s="85">
        <v>20</v>
      </c>
      <c r="P66" s="31">
        <v>1.1000000000000001</v>
      </c>
      <c r="Q66" s="34"/>
      <c r="R66" s="89"/>
      <c r="S66" s="85"/>
      <c r="T66" s="31">
        <v>1.2</v>
      </c>
      <c r="U66" s="34"/>
      <c r="V66" s="368"/>
      <c r="W66" s="369"/>
      <c r="X66" s="354">
        <v>1.1000000000000001</v>
      </c>
      <c r="Y66" s="34"/>
      <c r="Z66" s="109"/>
      <c r="AA66" s="85"/>
      <c r="AB66" s="77">
        <v>1.2</v>
      </c>
      <c r="AC66" s="34"/>
      <c r="AD66" s="89"/>
      <c r="AE66" s="85"/>
      <c r="AF66" s="31">
        <v>1.2</v>
      </c>
      <c r="AG66" s="372">
        <v>0</v>
      </c>
      <c r="AH66" s="89">
        <v>0</v>
      </c>
      <c r="AI66" s="85"/>
      <c r="AJ66" s="31">
        <v>1.3</v>
      </c>
      <c r="AK66" s="372">
        <v>0</v>
      </c>
      <c r="AL66" s="89">
        <v>0</v>
      </c>
      <c r="AM66" s="85" t="s">
        <v>493</v>
      </c>
      <c r="AN66" s="77">
        <v>1.2</v>
      </c>
      <c r="AO66" s="34"/>
      <c r="AP66" s="89"/>
      <c r="AQ66" s="85"/>
      <c r="AR66" s="76">
        <v>1.3</v>
      </c>
      <c r="AS66" s="34"/>
      <c r="AT66" s="89"/>
      <c r="AU66" s="85"/>
      <c r="AV66" s="77">
        <v>1.2</v>
      </c>
      <c r="AW66" s="34"/>
      <c r="AX66" s="89"/>
      <c r="AY66" s="85"/>
      <c r="AZ66" s="31">
        <v>1.3</v>
      </c>
      <c r="BA66" s="34"/>
      <c r="BB66" s="89"/>
      <c r="BC66" s="85"/>
      <c r="BD66" s="373" t="s">
        <v>490</v>
      </c>
      <c r="BE66" t="str">
        <f t="shared" si="5"/>
        <v>HollyWottonGigglesIntermediate 7-9Prelim</v>
      </c>
    </row>
    <row r="67" spans="1:57">
      <c r="A67" s="3" t="s">
        <v>77</v>
      </c>
      <c r="B67" s="3" t="s">
        <v>78</v>
      </c>
      <c r="C67" s="202" t="s">
        <v>79</v>
      </c>
      <c r="D67" s="3" t="s">
        <v>80</v>
      </c>
      <c r="E67" s="205"/>
      <c r="F67" s="88">
        <f t="shared" si="4"/>
        <v>0</v>
      </c>
      <c r="G67" s="78"/>
      <c r="H67" s="75">
        <v>1.1000000000000001</v>
      </c>
      <c r="I67" s="11"/>
      <c r="J67" s="107"/>
      <c r="K67" s="78"/>
      <c r="L67" s="75">
        <v>1.2</v>
      </c>
      <c r="M67" s="11"/>
      <c r="N67" s="88"/>
      <c r="O67" s="78"/>
      <c r="P67" s="19">
        <v>1.1000000000000001</v>
      </c>
      <c r="Q67" s="11"/>
      <c r="R67" s="100"/>
      <c r="S67" s="113"/>
      <c r="T67" s="19">
        <v>1.2</v>
      </c>
      <c r="U67" s="11"/>
      <c r="V67" s="155"/>
      <c r="W67" s="162"/>
      <c r="X67" s="75">
        <v>1.1000000000000001</v>
      </c>
      <c r="Y67" s="11"/>
      <c r="Z67" s="107"/>
      <c r="AA67" s="78"/>
      <c r="AB67" s="76">
        <v>1.2</v>
      </c>
      <c r="AC67" s="11"/>
      <c r="AD67" s="88"/>
      <c r="AE67" s="78"/>
      <c r="AF67" s="19">
        <v>1.2</v>
      </c>
      <c r="AG67" s="323">
        <v>0</v>
      </c>
      <c r="AH67" s="88">
        <v>0</v>
      </c>
      <c r="AI67" s="78"/>
      <c r="AJ67" s="19">
        <v>1.3</v>
      </c>
      <c r="AK67" s="323">
        <v>0</v>
      </c>
      <c r="AL67" s="88">
        <v>0</v>
      </c>
      <c r="AM67" s="78" t="s">
        <v>493</v>
      </c>
      <c r="AN67" s="76">
        <v>1.2</v>
      </c>
      <c r="AO67" s="11"/>
      <c r="AP67" s="88"/>
      <c r="AQ67" s="78"/>
      <c r="AR67" s="76">
        <v>1.3</v>
      </c>
      <c r="AS67" s="11"/>
      <c r="AT67" s="88"/>
      <c r="AU67" s="78"/>
      <c r="AV67" s="76">
        <v>1.2</v>
      </c>
      <c r="AW67" s="11"/>
      <c r="AX67" s="88"/>
      <c r="AY67" s="78"/>
      <c r="AZ67" s="19">
        <v>1.3</v>
      </c>
      <c r="BA67" s="11"/>
      <c r="BB67" s="88"/>
      <c r="BC67" s="78"/>
      <c r="BD67" s="298" t="s">
        <v>490</v>
      </c>
      <c r="BE67" s="3" t="str">
        <f t="shared" si="5"/>
        <v>HollyWottonWURLYANA BuckshotIntermediate 7-9Prelim</v>
      </c>
    </row>
    <row r="68" spans="1:57" ht="16.5" thickBot="1">
      <c r="A68" s="3" t="s">
        <v>206</v>
      </c>
      <c r="B68" s="3" t="s">
        <v>207</v>
      </c>
      <c r="C68" s="202" t="s">
        <v>63</v>
      </c>
      <c r="D68" s="3" t="s">
        <v>208</v>
      </c>
      <c r="E68" s="205"/>
      <c r="F68" s="344">
        <f t="shared" si="4"/>
        <v>0</v>
      </c>
      <c r="G68" s="343"/>
      <c r="H68" s="75">
        <v>1.1000000000000001</v>
      </c>
      <c r="I68" s="11"/>
      <c r="J68" s="108"/>
      <c r="K68" s="86"/>
      <c r="L68" s="75">
        <v>1.2</v>
      </c>
      <c r="M68" s="11"/>
      <c r="N68" s="90"/>
      <c r="O68" s="86"/>
      <c r="P68" s="19">
        <v>1.1000000000000001</v>
      </c>
      <c r="Q68" s="11"/>
      <c r="R68" s="159"/>
      <c r="S68" s="161"/>
      <c r="T68" s="19">
        <v>1.2</v>
      </c>
      <c r="U68" s="11"/>
      <c r="V68" s="157"/>
      <c r="W68" s="81"/>
      <c r="X68" s="75">
        <v>1.1000000000000001</v>
      </c>
      <c r="Y68" s="11"/>
      <c r="Z68" s="108"/>
      <c r="AA68" s="86"/>
      <c r="AB68" s="76">
        <v>1.2</v>
      </c>
      <c r="AC68" s="11"/>
      <c r="AD68" s="90"/>
      <c r="AE68" s="86"/>
      <c r="AF68" s="19">
        <v>1.2</v>
      </c>
      <c r="AG68" s="323">
        <v>0.52500000000000002</v>
      </c>
      <c r="AH68" s="90">
        <v>0</v>
      </c>
      <c r="AI68" s="86"/>
      <c r="AJ68" s="19">
        <v>1.3</v>
      </c>
      <c r="AK68" s="323">
        <v>0.53959999999999997</v>
      </c>
      <c r="AL68" s="90">
        <v>0</v>
      </c>
      <c r="AM68" s="86" t="s">
        <v>493</v>
      </c>
      <c r="AN68" s="76">
        <v>1.2</v>
      </c>
      <c r="AO68" s="11"/>
      <c r="AP68" s="90"/>
      <c r="AQ68" s="86"/>
      <c r="AR68" s="76">
        <v>1.3</v>
      </c>
      <c r="AS68" s="11"/>
      <c r="AT68" s="90"/>
      <c r="AU68" s="86"/>
      <c r="AV68" s="76">
        <v>1.2</v>
      </c>
      <c r="AW68" s="11"/>
      <c r="AX68" s="90"/>
      <c r="AY68" s="86"/>
      <c r="AZ68" s="19">
        <v>1.3</v>
      </c>
      <c r="BA68" s="11"/>
      <c r="BB68" s="90"/>
      <c r="BC68" s="86"/>
      <c r="BD68" s="298" t="s">
        <v>490</v>
      </c>
      <c r="BE68" s="3" t="str">
        <f t="shared" si="5"/>
        <v>Sophia Colenso‐wallaceGlenstone KinvaraIntermediate 7-9Prelim</v>
      </c>
    </row>
    <row r="69" spans="1:57" ht="16.5" thickBot="1">
      <c r="A69" s="7"/>
      <c r="B69" s="7"/>
      <c r="C69" s="7"/>
      <c r="D69" s="73"/>
      <c r="E69" s="73"/>
      <c r="H69" s="45"/>
      <c r="R69" s="9"/>
      <c r="S69" s="9"/>
      <c r="V69" s="9"/>
      <c r="W69" s="9"/>
      <c r="X69" s="45"/>
    </row>
    <row r="70" spans="1:57" ht="24" thickBot="1">
      <c r="A70" s="7"/>
      <c r="B70" s="7"/>
      <c r="C70" s="7"/>
      <c r="D70" s="7"/>
      <c r="E70" s="7"/>
      <c r="G70" s="7"/>
      <c r="H70" s="418" t="s">
        <v>290</v>
      </c>
      <c r="I70" s="441"/>
      <c r="J70" s="441"/>
      <c r="K70" s="463"/>
      <c r="L70" s="463"/>
      <c r="M70" s="463"/>
      <c r="N70" s="463"/>
      <c r="O70" s="412"/>
      <c r="P70" s="390" t="s">
        <v>329</v>
      </c>
      <c r="Q70" s="391"/>
      <c r="R70" s="391"/>
      <c r="S70" s="391"/>
      <c r="T70" s="391"/>
      <c r="U70" s="391"/>
      <c r="V70" s="391"/>
      <c r="W70" s="392"/>
      <c r="X70" s="402" t="s">
        <v>512</v>
      </c>
      <c r="Y70" s="444"/>
      <c r="Z70" s="444"/>
      <c r="AA70" s="444"/>
      <c r="AB70" s="444"/>
      <c r="AC70" s="444"/>
      <c r="AD70" s="444"/>
      <c r="AE70" s="445"/>
      <c r="AF70" s="448" t="s">
        <v>330</v>
      </c>
      <c r="AG70" s="449"/>
      <c r="AH70" s="449"/>
      <c r="AI70" s="450"/>
      <c r="AJ70" s="450"/>
      <c r="AK70" s="450"/>
      <c r="AL70" s="450"/>
      <c r="AM70" s="451"/>
      <c r="AN70" s="459"/>
      <c r="AO70" s="460"/>
      <c r="AP70" s="460"/>
      <c r="AQ70" s="461"/>
      <c r="AR70" s="461"/>
      <c r="AS70" s="461"/>
      <c r="AT70" s="461"/>
      <c r="AU70" s="462"/>
      <c r="AV70" s="459" t="s">
        <v>331</v>
      </c>
      <c r="AW70" s="460"/>
      <c r="AX70" s="460"/>
      <c r="AY70" s="461"/>
      <c r="AZ70" s="461"/>
      <c r="BA70" s="461"/>
      <c r="BB70" s="461"/>
      <c r="BC70" s="462"/>
    </row>
    <row r="71" spans="1:57" ht="47.25">
      <c r="A71" s="416" t="s">
        <v>355</v>
      </c>
      <c r="B71" s="409"/>
      <c r="C71" s="409"/>
      <c r="D71" s="409"/>
      <c r="E71" s="409"/>
      <c r="F71" s="374" t="s">
        <v>9</v>
      </c>
      <c r="G71" s="351" t="s">
        <v>10</v>
      </c>
      <c r="H71" s="46" t="s">
        <v>333</v>
      </c>
      <c r="I71" s="44" t="s">
        <v>334</v>
      </c>
      <c r="J71" s="92" t="s">
        <v>15</v>
      </c>
      <c r="K71" s="51" t="s">
        <v>16</v>
      </c>
      <c r="L71" s="59" t="s">
        <v>333</v>
      </c>
      <c r="M71" s="70" t="s">
        <v>334</v>
      </c>
      <c r="N71" s="103" t="s">
        <v>15</v>
      </c>
      <c r="O71" s="51" t="s">
        <v>16</v>
      </c>
      <c r="P71" s="59" t="s">
        <v>333</v>
      </c>
      <c r="Q71" s="56" t="s">
        <v>334</v>
      </c>
      <c r="R71" s="87" t="s">
        <v>15</v>
      </c>
      <c r="S71" s="57" t="s">
        <v>16</v>
      </c>
      <c r="T71" s="59" t="s">
        <v>333</v>
      </c>
      <c r="U71" s="56" t="s">
        <v>334</v>
      </c>
      <c r="V71" s="87" t="s">
        <v>15</v>
      </c>
      <c r="W71" s="57" t="s">
        <v>16</v>
      </c>
      <c r="X71" s="59" t="s">
        <v>333</v>
      </c>
      <c r="Y71" s="70" t="s">
        <v>334</v>
      </c>
      <c r="Z71" s="92" t="s">
        <v>15</v>
      </c>
      <c r="AA71" s="67" t="s">
        <v>16</v>
      </c>
      <c r="AB71" s="54" t="s">
        <v>333</v>
      </c>
      <c r="AC71" s="70" t="s">
        <v>334</v>
      </c>
      <c r="AD71" s="103" t="s">
        <v>15</v>
      </c>
      <c r="AE71" s="51" t="s">
        <v>16</v>
      </c>
      <c r="AF71" s="59" t="s">
        <v>333</v>
      </c>
      <c r="AG71" s="326" t="s">
        <v>334</v>
      </c>
      <c r="AH71" s="97" t="s">
        <v>15</v>
      </c>
      <c r="AI71" s="57" t="s">
        <v>16</v>
      </c>
      <c r="AJ71" s="59" t="s">
        <v>333</v>
      </c>
      <c r="AK71" s="326" t="s">
        <v>334</v>
      </c>
      <c r="AL71" s="97" t="s">
        <v>15</v>
      </c>
      <c r="AM71" s="57" t="s">
        <v>16</v>
      </c>
      <c r="AN71" s="59" t="s">
        <v>333</v>
      </c>
      <c r="AO71" s="56" t="s">
        <v>334</v>
      </c>
      <c r="AP71" s="97" t="s">
        <v>15</v>
      </c>
      <c r="AQ71" s="57" t="s">
        <v>16</v>
      </c>
      <c r="AR71" s="59" t="s">
        <v>333</v>
      </c>
      <c r="AS71" s="56" t="s">
        <v>334</v>
      </c>
      <c r="AT71" s="97" t="s">
        <v>15</v>
      </c>
      <c r="AU71" s="57" t="s">
        <v>16</v>
      </c>
      <c r="AV71" s="59" t="s">
        <v>333</v>
      </c>
      <c r="AW71" s="56" t="s">
        <v>334</v>
      </c>
      <c r="AX71" s="97" t="s">
        <v>15</v>
      </c>
      <c r="AY71" s="57" t="s">
        <v>16</v>
      </c>
      <c r="AZ71" s="59" t="s">
        <v>333</v>
      </c>
      <c r="BA71" s="56" t="s">
        <v>334</v>
      </c>
      <c r="BB71" s="97" t="s">
        <v>15</v>
      </c>
      <c r="BC71" s="57" t="s">
        <v>16</v>
      </c>
      <c r="BD71" s="293" t="s">
        <v>508</v>
      </c>
    </row>
    <row r="72" spans="1:57" s="43" customFormat="1">
      <c r="A72" s="1" t="s">
        <v>22</v>
      </c>
      <c r="B72" s="1" t="s">
        <v>23</v>
      </c>
      <c r="C72" s="4" t="s">
        <v>24</v>
      </c>
      <c r="D72" s="1" t="s">
        <v>25</v>
      </c>
      <c r="E72" s="4" t="s">
        <v>26</v>
      </c>
      <c r="F72" s="88">
        <f t="shared" ref="F72:F87" si="6">J72+N72+R72+V72+Z72+AD72+AH72+AL72+AP72+AT72</f>
        <v>0</v>
      </c>
      <c r="G72" s="78"/>
      <c r="H72" s="76"/>
      <c r="I72" s="16"/>
      <c r="J72" s="107"/>
      <c r="K72" s="78"/>
      <c r="L72" s="76"/>
      <c r="M72" s="16"/>
      <c r="N72" s="111"/>
      <c r="O72" s="78"/>
      <c r="P72" s="19"/>
      <c r="Q72" s="11"/>
      <c r="R72" s="100"/>
      <c r="S72" s="113"/>
      <c r="T72" s="19"/>
      <c r="U72" s="11"/>
      <c r="V72" s="100"/>
      <c r="W72" s="113"/>
      <c r="X72" s="76"/>
      <c r="Y72" s="16"/>
      <c r="Z72" s="107"/>
      <c r="AA72" s="82"/>
      <c r="AB72" s="22"/>
      <c r="AC72" s="16"/>
      <c r="AD72" s="111"/>
      <c r="AE72" s="78"/>
      <c r="AF72" s="76"/>
      <c r="AG72" s="323"/>
      <c r="AH72" s="88"/>
      <c r="AI72" s="78"/>
      <c r="AJ72" s="76"/>
      <c r="AK72" s="323"/>
      <c r="AL72" s="88"/>
      <c r="AM72" s="78"/>
      <c r="AN72" s="76"/>
      <c r="AO72" s="11"/>
      <c r="AP72" s="88"/>
      <c r="AQ72" s="78"/>
      <c r="AR72" s="76"/>
      <c r="AS72" s="11"/>
      <c r="AT72" s="88"/>
      <c r="AU72" s="78"/>
      <c r="AV72" s="76"/>
      <c r="AW72" s="11"/>
      <c r="AX72" s="88"/>
      <c r="AY72" s="78"/>
      <c r="AZ72" s="76"/>
      <c r="BA72" s="11"/>
      <c r="BB72" s="88"/>
      <c r="BC72" s="78"/>
      <c r="BD72" s="278" t="s">
        <v>490</v>
      </c>
      <c r="BE72" t="str">
        <f>A72&amp;B72&amp;D72&amp;BD72&amp;$BD$71</f>
        <v>Rider First NameRider Last NameName of Pony/HorseIntermediate 7-9Novice</v>
      </c>
    </row>
    <row r="73" spans="1:57">
      <c r="A73" s="3" t="s">
        <v>61</v>
      </c>
      <c r="B73" s="3" t="s">
        <v>62</v>
      </c>
      <c r="C73" s="205" t="s">
        <v>63</v>
      </c>
      <c r="D73" s="202" t="s">
        <v>64</v>
      </c>
      <c r="E73" s="217">
        <v>7</v>
      </c>
      <c r="F73" s="88">
        <f t="shared" si="6"/>
        <v>0</v>
      </c>
      <c r="G73" s="78"/>
      <c r="H73" s="76">
        <v>2.1</v>
      </c>
      <c r="I73" s="16"/>
      <c r="J73" s="107"/>
      <c r="K73" s="78"/>
      <c r="L73" s="76">
        <v>2.2000000000000002</v>
      </c>
      <c r="M73" s="16"/>
      <c r="N73" s="111"/>
      <c r="O73" s="78"/>
      <c r="P73" s="19">
        <v>2.1</v>
      </c>
      <c r="Q73" s="11"/>
      <c r="R73" s="88"/>
      <c r="S73" s="78"/>
      <c r="T73" s="19">
        <v>2.2000000000000002</v>
      </c>
      <c r="U73" s="11"/>
      <c r="V73" s="88"/>
      <c r="W73" s="78"/>
      <c r="X73" s="76">
        <v>2.1</v>
      </c>
      <c r="Y73" s="16"/>
      <c r="Z73" s="107"/>
      <c r="AA73" s="82"/>
      <c r="AB73" s="22">
        <v>2.2000000000000002</v>
      </c>
      <c r="AC73" s="16"/>
      <c r="AD73" s="111"/>
      <c r="AE73" s="78"/>
      <c r="AF73" s="76">
        <v>2.2000000000000002</v>
      </c>
      <c r="AG73" s="322">
        <v>0</v>
      </c>
      <c r="AH73" s="88">
        <v>0</v>
      </c>
      <c r="AI73" s="78" t="s">
        <v>493</v>
      </c>
      <c r="AJ73" s="76">
        <v>2.2999999999999998</v>
      </c>
      <c r="AK73" s="322">
        <v>0</v>
      </c>
      <c r="AL73" s="88">
        <v>0</v>
      </c>
      <c r="AM73" s="78" t="s">
        <v>493</v>
      </c>
      <c r="AN73" s="76">
        <v>2.2000000000000002</v>
      </c>
      <c r="AO73" s="11"/>
      <c r="AP73" s="88"/>
      <c r="AQ73" s="78"/>
      <c r="AR73" s="76">
        <v>2.2999999999999998</v>
      </c>
      <c r="AS73" s="11"/>
      <c r="AT73" s="88"/>
      <c r="AU73" s="78"/>
      <c r="AV73" s="76">
        <v>2.2000000000000002</v>
      </c>
      <c r="AW73" s="11"/>
      <c r="AX73" s="88"/>
      <c r="AY73" s="78"/>
      <c r="AZ73" s="76">
        <v>2.2999999999999998</v>
      </c>
      <c r="BA73" s="11"/>
      <c r="BB73" s="88"/>
      <c r="BC73" s="78"/>
      <c r="BD73" s="278" t="s">
        <v>490</v>
      </c>
      <c r="BE73" t="str">
        <f t="shared" ref="BE73:BE87" si="7">A73&amp;B73&amp;D73&amp;BD73&amp;$BD$71</f>
        <v>AbigailGrahamWyann Guns and RosesIntermediate 7-9Novice</v>
      </c>
    </row>
    <row r="74" spans="1:57">
      <c r="A74" s="3" t="s">
        <v>214</v>
      </c>
      <c r="B74" s="3" t="s">
        <v>215</v>
      </c>
      <c r="C74" s="205" t="s">
        <v>63</v>
      </c>
      <c r="D74" s="202" t="s">
        <v>216</v>
      </c>
      <c r="E74" s="205">
        <v>7</v>
      </c>
      <c r="F74" s="88">
        <f t="shared" si="6"/>
        <v>38</v>
      </c>
      <c r="G74" s="78"/>
      <c r="H74" s="76">
        <v>2.1</v>
      </c>
      <c r="I74" s="16">
        <v>67.114999999999995</v>
      </c>
      <c r="J74" s="107">
        <v>18</v>
      </c>
      <c r="K74" s="78">
        <v>18</v>
      </c>
      <c r="L74" s="76">
        <v>2.2000000000000002</v>
      </c>
      <c r="M74" s="16">
        <v>65.468999999999994</v>
      </c>
      <c r="N74" s="111">
        <v>20</v>
      </c>
      <c r="O74" s="78">
        <v>20</v>
      </c>
      <c r="P74" s="19">
        <v>2.1</v>
      </c>
      <c r="Q74" s="11"/>
      <c r="R74" s="88"/>
      <c r="S74" s="78"/>
      <c r="T74" s="19">
        <v>2.2000000000000002</v>
      </c>
      <c r="U74" s="11"/>
      <c r="V74" s="88"/>
      <c r="W74" s="78"/>
      <c r="X74" s="76">
        <v>2.1</v>
      </c>
      <c r="Y74" s="16"/>
      <c r="Z74" s="107"/>
      <c r="AA74" s="82"/>
      <c r="AB74" s="22">
        <v>2.2000000000000002</v>
      </c>
      <c r="AC74" s="16"/>
      <c r="AD74" s="111"/>
      <c r="AE74" s="78"/>
      <c r="AF74" s="76">
        <v>2.2000000000000002</v>
      </c>
      <c r="AG74" s="322">
        <v>0</v>
      </c>
      <c r="AH74" s="88">
        <v>0</v>
      </c>
      <c r="AI74" s="78" t="s">
        <v>493</v>
      </c>
      <c r="AJ74" s="76">
        <v>2.2999999999999998</v>
      </c>
      <c r="AK74" s="322">
        <v>0</v>
      </c>
      <c r="AL74" s="88">
        <v>0</v>
      </c>
      <c r="AM74" s="78" t="s">
        <v>493</v>
      </c>
      <c r="AN74" s="76">
        <v>2.2000000000000002</v>
      </c>
      <c r="AO74" s="11"/>
      <c r="AP74" s="88"/>
      <c r="AQ74" s="78"/>
      <c r="AR74" s="76">
        <v>2.2999999999999998</v>
      </c>
      <c r="AS74" s="11"/>
      <c r="AT74" s="88"/>
      <c r="AU74" s="78"/>
      <c r="AV74" s="76">
        <v>2.2000000000000002</v>
      </c>
      <c r="AW74" s="11"/>
      <c r="AX74" s="88"/>
      <c r="AY74" s="78"/>
      <c r="AZ74" s="76">
        <v>2.2999999999999998</v>
      </c>
      <c r="BA74" s="11"/>
      <c r="BB74" s="88"/>
      <c r="BC74" s="78"/>
      <c r="BD74" s="278" t="s">
        <v>490</v>
      </c>
      <c r="BE74" t="str">
        <f t="shared" si="7"/>
        <v>AdelaideNobleCalumet VictoryIntermediate 7-9Novice</v>
      </c>
    </row>
    <row r="75" spans="1:57">
      <c r="A75" s="3" t="s">
        <v>65</v>
      </c>
      <c r="B75" s="3" t="s">
        <v>66</v>
      </c>
      <c r="C75" s="3" t="s">
        <v>67</v>
      </c>
      <c r="D75" s="3" t="s">
        <v>68</v>
      </c>
      <c r="E75" s="216">
        <v>9</v>
      </c>
      <c r="F75" s="88">
        <f t="shared" si="6"/>
        <v>0</v>
      </c>
      <c r="G75" s="78"/>
      <c r="H75" s="76">
        <v>2.1</v>
      </c>
      <c r="I75" s="16"/>
      <c r="J75" s="107"/>
      <c r="K75" s="78"/>
      <c r="L75" s="76">
        <v>2.2000000000000002</v>
      </c>
      <c r="M75" s="16"/>
      <c r="N75" s="111"/>
      <c r="O75" s="78"/>
      <c r="P75" s="19">
        <v>2.1</v>
      </c>
      <c r="Q75" s="11"/>
      <c r="R75" s="88"/>
      <c r="S75" s="78"/>
      <c r="T75" s="19">
        <v>2.2000000000000002</v>
      </c>
      <c r="U75" s="11"/>
      <c r="V75" s="88"/>
      <c r="W75" s="78"/>
      <c r="X75" s="76">
        <v>2.1</v>
      </c>
      <c r="Y75" s="16"/>
      <c r="Z75" s="107"/>
      <c r="AA75" s="82"/>
      <c r="AB75" s="22">
        <v>2.2000000000000002</v>
      </c>
      <c r="AC75" s="16"/>
      <c r="AD75" s="111"/>
      <c r="AE75" s="78"/>
      <c r="AF75" s="76">
        <v>2.2000000000000002</v>
      </c>
      <c r="AG75" s="322">
        <v>0</v>
      </c>
      <c r="AH75" s="88">
        <v>0</v>
      </c>
      <c r="AI75" s="78" t="s">
        <v>493</v>
      </c>
      <c r="AJ75" s="76">
        <v>2.2999999999999998</v>
      </c>
      <c r="AK75" s="322">
        <v>0</v>
      </c>
      <c r="AL75" s="88">
        <v>0</v>
      </c>
      <c r="AM75" s="78" t="s">
        <v>493</v>
      </c>
      <c r="AN75" s="76">
        <v>2.2000000000000002</v>
      </c>
      <c r="AO75" s="11"/>
      <c r="AP75" s="88"/>
      <c r="AQ75" s="78"/>
      <c r="AR75" s="76">
        <v>2.2999999999999998</v>
      </c>
      <c r="AS75" s="11"/>
      <c r="AT75" s="88"/>
      <c r="AU75" s="78"/>
      <c r="AV75" s="76">
        <v>2.2000000000000002</v>
      </c>
      <c r="AW75" s="11"/>
      <c r="AX75" s="88"/>
      <c r="AY75" s="78"/>
      <c r="AZ75" s="76">
        <v>2.2999999999999998</v>
      </c>
      <c r="BA75" s="11"/>
      <c r="BB75" s="88"/>
      <c r="BC75" s="78"/>
      <c r="BD75" s="278" t="s">
        <v>490</v>
      </c>
      <c r="BE75" t="str">
        <f t="shared" si="7"/>
        <v>AnnabelleKnowlesSandon Grove Bobby RoyalIntermediate 7-9Novice</v>
      </c>
    </row>
    <row r="76" spans="1:57">
      <c r="A76" s="3" t="s">
        <v>186</v>
      </c>
      <c r="B76" s="3" t="s">
        <v>187</v>
      </c>
      <c r="C76" s="205" t="s">
        <v>188</v>
      </c>
      <c r="D76" s="202" t="s">
        <v>189</v>
      </c>
      <c r="E76" s="205">
        <v>9</v>
      </c>
      <c r="F76" s="88">
        <f t="shared" si="6"/>
        <v>0</v>
      </c>
      <c r="G76" s="78"/>
      <c r="H76" s="76">
        <v>2.1</v>
      </c>
      <c r="I76" s="16"/>
      <c r="J76" s="107"/>
      <c r="K76" s="78"/>
      <c r="L76" s="76">
        <v>2.2000000000000002</v>
      </c>
      <c r="M76" s="16"/>
      <c r="N76" s="111"/>
      <c r="O76" s="78"/>
      <c r="P76" s="19">
        <v>2.1</v>
      </c>
      <c r="Q76" s="11"/>
      <c r="R76" s="88"/>
      <c r="S76" s="78"/>
      <c r="T76" s="19">
        <v>2.2000000000000002</v>
      </c>
      <c r="U76" s="11"/>
      <c r="V76" s="88"/>
      <c r="W76" s="78"/>
      <c r="X76" s="76">
        <v>2.1</v>
      </c>
      <c r="Y76" s="16"/>
      <c r="Z76" s="107"/>
      <c r="AA76" s="82"/>
      <c r="AB76" s="22">
        <v>2.2000000000000002</v>
      </c>
      <c r="AC76" s="16"/>
      <c r="AD76" s="111"/>
      <c r="AE76" s="78"/>
      <c r="AF76" s="76">
        <v>2.2000000000000002</v>
      </c>
      <c r="AG76" s="322">
        <v>0</v>
      </c>
      <c r="AH76" s="88">
        <v>0</v>
      </c>
      <c r="AI76" s="78" t="s">
        <v>493</v>
      </c>
      <c r="AJ76" s="76">
        <v>2.2999999999999998</v>
      </c>
      <c r="AK76" s="322">
        <v>0</v>
      </c>
      <c r="AL76" s="88">
        <v>0</v>
      </c>
      <c r="AM76" s="78" t="s">
        <v>493</v>
      </c>
      <c r="AN76" s="76">
        <v>2.2000000000000002</v>
      </c>
      <c r="AO76" s="11"/>
      <c r="AP76" s="88"/>
      <c r="AQ76" s="78"/>
      <c r="AR76" s="76">
        <v>2.2999999999999998</v>
      </c>
      <c r="AS76" s="11"/>
      <c r="AT76" s="88"/>
      <c r="AU76" s="78"/>
      <c r="AV76" s="76">
        <v>2.2000000000000002</v>
      </c>
      <c r="AW76" s="11"/>
      <c r="AX76" s="88"/>
      <c r="AY76" s="78"/>
      <c r="AZ76" s="76">
        <v>2.2999999999999998</v>
      </c>
      <c r="BA76" s="11"/>
      <c r="BB76" s="88"/>
      <c r="BC76" s="78"/>
      <c r="BD76" s="278" t="s">
        <v>490</v>
      </c>
      <c r="BE76" t="str">
        <f t="shared" si="7"/>
        <v>EllanaPrinciEP RoyaleIntermediate 7-9Novice</v>
      </c>
    </row>
    <row r="77" spans="1:57">
      <c r="A77" s="3" t="s">
        <v>99</v>
      </c>
      <c r="B77" s="3" t="s">
        <v>41</v>
      </c>
      <c r="C77" s="202" t="s">
        <v>42</v>
      </c>
      <c r="D77" s="202" t="s">
        <v>212</v>
      </c>
      <c r="E77" s="205">
        <v>7</v>
      </c>
      <c r="F77" s="88">
        <f t="shared" si="6"/>
        <v>88</v>
      </c>
      <c r="G77" s="78">
        <f>SUM(K77,AI77)</f>
        <v>40</v>
      </c>
      <c r="H77" s="76">
        <v>2.1</v>
      </c>
      <c r="I77" s="16">
        <v>72.308000000000007</v>
      </c>
      <c r="J77" s="107">
        <v>20</v>
      </c>
      <c r="K77" s="78">
        <v>20</v>
      </c>
      <c r="L77" s="76">
        <v>2.2000000000000002</v>
      </c>
      <c r="M77" s="16"/>
      <c r="N77" s="111"/>
      <c r="O77" s="162"/>
      <c r="P77" s="19">
        <v>2.1</v>
      </c>
      <c r="Q77" s="11"/>
      <c r="R77" s="88"/>
      <c r="S77" s="78"/>
      <c r="T77" s="19">
        <v>2.2000000000000002</v>
      </c>
      <c r="U77" s="11"/>
      <c r="V77" s="88"/>
      <c r="W77" s="78"/>
      <c r="X77" s="76">
        <v>2.1</v>
      </c>
      <c r="Y77" s="16"/>
      <c r="Z77" s="107"/>
      <c r="AA77" s="82"/>
      <c r="AB77" s="22">
        <v>2.2000000000000002</v>
      </c>
      <c r="AC77" s="16"/>
      <c r="AD77" s="111"/>
      <c r="AE77" s="162"/>
      <c r="AF77" s="76">
        <v>2.2000000000000002</v>
      </c>
      <c r="AG77" s="322">
        <v>0.63515624999999998</v>
      </c>
      <c r="AH77" s="88">
        <v>25</v>
      </c>
      <c r="AI77" s="78">
        <v>20</v>
      </c>
      <c r="AJ77" s="76">
        <v>2.2999999999999998</v>
      </c>
      <c r="AK77" s="322">
        <v>0.64715</v>
      </c>
      <c r="AL77" s="88">
        <v>24</v>
      </c>
      <c r="AM77" s="78">
        <v>19</v>
      </c>
      <c r="AN77" s="76">
        <v>2.2000000000000002</v>
      </c>
      <c r="AO77" s="11"/>
      <c r="AP77" s="88"/>
      <c r="AQ77" s="78"/>
      <c r="AR77" s="76">
        <v>2.2999999999999998</v>
      </c>
      <c r="AS77" s="11">
        <v>61.43</v>
      </c>
      <c r="AT77" s="88">
        <v>19</v>
      </c>
      <c r="AU77" s="78">
        <f>AT77</f>
        <v>19</v>
      </c>
      <c r="AV77" s="76">
        <v>2.2000000000000002</v>
      </c>
      <c r="AW77" s="11"/>
      <c r="AX77" s="88"/>
      <c r="AY77" s="78"/>
      <c r="AZ77" s="76">
        <v>2.2999999999999998</v>
      </c>
      <c r="BA77" s="11"/>
      <c r="BB77" s="88"/>
      <c r="BC77" s="78"/>
      <c r="BD77" s="278" t="s">
        <v>490</v>
      </c>
      <c r="BE77" t="str">
        <f t="shared" si="7"/>
        <v>StellaCarmichaelRhesa Prince of PeaceIntermediate 7-9Novice</v>
      </c>
    </row>
    <row r="78" spans="1:57">
      <c r="A78" s="3" t="s">
        <v>99</v>
      </c>
      <c r="B78" s="3" t="s">
        <v>41</v>
      </c>
      <c r="C78" s="202" t="s">
        <v>42</v>
      </c>
      <c r="D78" s="202" t="s">
        <v>100</v>
      </c>
      <c r="E78" s="205">
        <v>7</v>
      </c>
      <c r="F78" s="88">
        <f t="shared" si="6"/>
        <v>20</v>
      </c>
      <c r="G78" s="78"/>
      <c r="H78" s="76">
        <v>2.1</v>
      </c>
      <c r="I78" s="16"/>
      <c r="J78" s="107"/>
      <c r="K78" s="78"/>
      <c r="L78" s="76">
        <v>2.2000000000000002</v>
      </c>
      <c r="M78" s="16"/>
      <c r="N78" s="111"/>
      <c r="O78" s="78"/>
      <c r="P78" s="19">
        <v>2.1</v>
      </c>
      <c r="Q78" s="11"/>
      <c r="R78" s="88"/>
      <c r="S78" s="78"/>
      <c r="T78" s="19">
        <v>2.2000000000000002</v>
      </c>
      <c r="U78" s="11"/>
      <c r="V78" s="88"/>
      <c r="W78" s="78"/>
      <c r="X78" s="76">
        <v>2.1</v>
      </c>
      <c r="Y78" s="16"/>
      <c r="Z78" s="107"/>
      <c r="AA78" s="82"/>
      <c r="AB78" s="22">
        <v>2.2000000000000002</v>
      </c>
      <c r="AC78" s="16"/>
      <c r="AD78" s="111"/>
      <c r="AE78" s="78"/>
      <c r="AF78" s="76">
        <v>2.2000000000000002</v>
      </c>
      <c r="AG78" s="322">
        <v>0</v>
      </c>
      <c r="AH78" s="88">
        <v>0</v>
      </c>
      <c r="AI78" s="78" t="s">
        <v>493</v>
      </c>
      <c r="AJ78" s="76">
        <v>2.2999999999999998</v>
      </c>
      <c r="AK78" s="322">
        <v>0</v>
      </c>
      <c r="AL78" s="88">
        <v>0</v>
      </c>
      <c r="AM78" s="78" t="s">
        <v>493</v>
      </c>
      <c r="AN78" s="76">
        <v>2.2000000000000002</v>
      </c>
      <c r="AO78" s="11">
        <v>78.91</v>
      </c>
      <c r="AP78" s="88">
        <v>20</v>
      </c>
      <c r="AQ78" s="78">
        <v>20</v>
      </c>
      <c r="AR78" s="76">
        <v>2.2999999999999998</v>
      </c>
      <c r="AS78" s="11"/>
      <c r="AT78" s="88"/>
      <c r="AU78" s="78"/>
      <c r="AV78" s="76">
        <v>2.2000000000000002</v>
      </c>
      <c r="AW78" s="11"/>
      <c r="AX78" s="88"/>
      <c r="AY78" s="78"/>
      <c r="AZ78" s="76">
        <v>2.2999999999999998</v>
      </c>
      <c r="BA78" s="11"/>
      <c r="BB78" s="88"/>
      <c r="BC78" s="78"/>
      <c r="BD78" s="278" t="s">
        <v>490</v>
      </c>
      <c r="BE78" t="str">
        <f t="shared" si="7"/>
        <v>StellaCarmichaelWynara First RomanceIntermediate 7-9Novice</v>
      </c>
    </row>
    <row r="79" spans="1:57">
      <c r="A79" s="3" t="s">
        <v>143</v>
      </c>
      <c r="B79" s="3" t="s">
        <v>37</v>
      </c>
      <c r="C79" s="3" t="s">
        <v>38</v>
      </c>
      <c r="D79" s="202" t="s">
        <v>209</v>
      </c>
      <c r="E79" s="216">
        <v>8</v>
      </c>
      <c r="F79" s="88">
        <f t="shared" si="6"/>
        <v>96</v>
      </c>
      <c r="G79" s="78">
        <f>SUM(K79,AU79)</f>
        <v>39</v>
      </c>
      <c r="H79" s="76">
        <v>2.1</v>
      </c>
      <c r="I79" s="16">
        <v>67.308000000000007</v>
      </c>
      <c r="J79" s="107">
        <v>19</v>
      </c>
      <c r="K79" s="78">
        <v>19</v>
      </c>
      <c r="L79" s="76">
        <v>2.2000000000000002</v>
      </c>
      <c r="M79" s="16"/>
      <c r="N79" s="111"/>
      <c r="O79" s="78"/>
      <c r="P79" s="19">
        <v>2.1</v>
      </c>
      <c r="Q79" s="11">
        <v>63.268999999999998</v>
      </c>
      <c r="R79" s="88">
        <v>17</v>
      </c>
      <c r="S79" s="78">
        <v>17</v>
      </c>
      <c r="T79" s="19">
        <v>2.2000000000000002</v>
      </c>
      <c r="U79" s="11">
        <v>60.155999999999999</v>
      </c>
      <c r="V79" s="88">
        <v>18</v>
      </c>
      <c r="W79" s="78">
        <v>18</v>
      </c>
      <c r="X79" s="76">
        <v>2.1</v>
      </c>
      <c r="Y79" s="16"/>
      <c r="Z79" s="107"/>
      <c r="AA79" s="82"/>
      <c r="AB79" s="22">
        <v>2.2000000000000002</v>
      </c>
      <c r="AC79" s="16"/>
      <c r="AD79" s="111"/>
      <c r="AE79" s="78"/>
      <c r="AF79" s="76">
        <v>2.2000000000000002</v>
      </c>
      <c r="AG79" s="322">
        <v>0.61640625000000004</v>
      </c>
      <c r="AH79" s="88">
        <v>22</v>
      </c>
      <c r="AI79" s="78">
        <v>17</v>
      </c>
      <c r="AJ79" s="76">
        <v>2.2999999999999998</v>
      </c>
      <c r="AK79" s="322">
        <v>0.59860000000000002</v>
      </c>
      <c r="AL79" s="88">
        <v>0</v>
      </c>
      <c r="AM79" s="78" t="s">
        <v>493</v>
      </c>
      <c r="AN79" s="76">
        <v>2.2000000000000002</v>
      </c>
      <c r="AO79" s="11"/>
      <c r="AP79" s="88"/>
      <c r="AQ79" s="78"/>
      <c r="AR79" s="76">
        <v>2.2999999999999998</v>
      </c>
      <c r="AS79" s="11">
        <v>64.430000000000007</v>
      </c>
      <c r="AT79" s="88">
        <v>20</v>
      </c>
      <c r="AU79" s="78">
        <f>AT79</f>
        <v>20</v>
      </c>
      <c r="AV79" s="76">
        <v>2.2000000000000002</v>
      </c>
      <c r="AW79" s="11"/>
      <c r="AX79" s="88"/>
      <c r="AY79" s="78"/>
      <c r="AZ79" s="76">
        <v>2.2999999999999998</v>
      </c>
      <c r="BA79" s="11"/>
      <c r="BB79" s="88"/>
      <c r="BC79" s="78"/>
      <c r="BD79" s="278" t="s">
        <v>490</v>
      </c>
      <c r="BE79" t="str">
        <f t="shared" si="7"/>
        <v>SophieMeaneyDiamonte Show TimeIntermediate 7-9Novice</v>
      </c>
    </row>
    <row r="80" spans="1:57">
      <c r="A80" s="3" t="s">
        <v>190</v>
      </c>
      <c r="B80" s="3" t="s">
        <v>191</v>
      </c>
      <c r="C80" s="202" t="s">
        <v>79</v>
      </c>
      <c r="D80" s="202" t="s">
        <v>192</v>
      </c>
      <c r="E80" s="216"/>
      <c r="F80" s="88">
        <f t="shared" si="6"/>
        <v>0</v>
      </c>
      <c r="G80" s="78"/>
      <c r="H80" s="76">
        <v>2.1</v>
      </c>
      <c r="I80" s="16"/>
      <c r="J80" s="107"/>
      <c r="K80" s="78"/>
      <c r="L80" s="76">
        <v>2.2000000000000002</v>
      </c>
      <c r="M80" s="16"/>
      <c r="N80" s="111"/>
      <c r="O80" s="78"/>
      <c r="P80" s="19">
        <v>2.1</v>
      </c>
      <c r="Q80" s="11"/>
      <c r="R80" s="88"/>
      <c r="S80" s="78"/>
      <c r="T80" s="19">
        <v>2.2000000000000002</v>
      </c>
      <c r="U80" s="11"/>
      <c r="V80" s="88"/>
      <c r="W80" s="78"/>
      <c r="X80" s="76">
        <v>2.1</v>
      </c>
      <c r="Y80" s="16"/>
      <c r="Z80" s="107"/>
      <c r="AA80" s="82"/>
      <c r="AB80" s="22">
        <v>2.2000000000000002</v>
      </c>
      <c r="AC80" s="16"/>
      <c r="AD80" s="111"/>
      <c r="AE80" s="78"/>
      <c r="AF80" s="76">
        <v>2.2000000000000002</v>
      </c>
      <c r="AG80" s="322">
        <v>0</v>
      </c>
      <c r="AH80" s="88">
        <v>0</v>
      </c>
      <c r="AI80" s="78" t="s">
        <v>493</v>
      </c>
      <c r="AJ80" s="76">
        <v>2.2999999999999998</v>
      </c>
      <c r="AK80" s="322">
        <v>0</v>
      </c>
      <c r="AL80" s="88">
        <v>0</v>
      </c>
      <c r="AM80" s="78" t="s">
        <v>493</v>
      </c>
      <c r="AN80" s="76">
        <v>2.2000000000000002</v>
      </c>
      <c r="AO80" s="11"/>
      <c r="AP80" s="88"/>
      <c r="AQ80" s="78"/>
      <c r="AR80" s="76">
        <v>2.2999999999999998</v>
      </c>
      <c r="AS80" s="11"/>
      <c r="AT80" s="88"/>
      <c r="AU80" s="78"/>
      <c r="AV80" s="76">
        <v>2.2000000000000002</v>
      </c>
      <c r="AW80" s="11"/>
      <c r="AX80" s="88"/>
      <c r="AY80" s="78"/>
      <c r="AZ80" s="76">
        <v>2.2999999999999998</v>
      </c>
      <c r="BA80" s="11"/>
      <c r="BB80" s="88"/>
      <c r="BC80" s="78"/>
      <c r="BD80" s="278" t="s">
        <v>490</v>
      </c>
      <c r="BE80" t="str">
        <f t="shared" si="7"/>
        <v>GeorgiaPriorSP WillaIntermediate 7-9Novice</v>
      </c>
    </row>
    <row r="81" spans="1:57">
      <c r="A81" s="221" t="s">
        <v>36</v>
      </c>
      <c r="B81" s="221" t="s">
        <v>71</v>
      </c>
      <c r="C81" s="222" t="s">
        <v>72</v>
      </c>
      <c r="D81" s="225" t="s">
        <v>73</v>
      </c>
      <c r="E81" s="216"/>
      <c r="F81" s="88">
        <f t="shared" si="6"/>
        <v>0</v>
      </c>
      <c r="G81" s="78"/>
      <c r="H81" s="76">
        <v>2.1</v>
      </c>
      <c r="I81" s="16"/>
      <c r="J81" s="107"/>
      <c r="K81" s="78"/>
      <c r="L81" s="76">
        <v>2.2000000000000002</v>
      </c>
      <c r="M81" s="16"/>
      <c r="N81" s="111"/>
      <c r="O81" s="78"/>
      <c r="P81" s="19">
        <v>2.1</v>
      </c>
      <c r="Q81" s="11"/>
      <c r="R81" s="88"/>
      <c r="S81" s="78"/>
      <c r="T81" s="19">
        <v>2.2000000000000002</v>
      </c>
      <c r="U81" s="11"/>
      <c r="V81" s="88"/>
      <c r="W81" s="78"/>
      <c r="X81" s="76">
        <v>2.1</v>
      </c>
      <c r="Y81" s="16"/>
      <c r="Z81" s="107"/>
      <c r="AA81" s="82"/>
      <c r="AB81" s="22">
        <v>2.2000000000000002</v>
      </c>
      <c r="AC81" s="16"/>
      <c r="AD81" s="111"/>
      <c r="AE81" s="78"/>
      <c r="AF81" s="76">
        <v>2.2000000000000002</v>
      </c>
      <c r="AG81" s="322">
        <v>0</v>
      </c>
      <c r="AH81" s="88">
        <v>0</v>
      </c>
      <c r="AI81" s="78" t="s">
        <v>493</v>
      </c>
      <c r="AJ81" s="76">
        <v>2.2999999999999998</v>
      </c>
      <c r="AK81" s="322">
        <v>0</v>
      </c>
      <c r="AL81" s="88">
        <v>0</v>
      </c>
      <c r="AM81" s="78" t="s">
        <v>493</v>
      </c>
      <c r="AN81" s="76">
        <v>2.2000000000000002</v>
      </c>
      <c r="AO81" s="11"/>
      <c r="AP81" s="88"/>
      <c r="AQ81" s="78"/>
      <c r="AR81" s="76">
        <v>2.2999999999999998</v>
      </c>
      <c r="AS81" s="11"/>
      <c r="AT81" s="88"/>
      <c r="AU81" s="78"/>
      <c r="AV81" s="76">
        <v>2.2000000000000002</v>
      </c>
      <c r="AW81" s="11"/>
      <c r="AX81" s="88"/>
      <c r="AY81" s="78"/>
      <c r="AZ81" s="76">
        <v>2.2999999999999998</v>
      </c>
      <c r="BA81" s="11"/>
      <c r="BB81" s="88"/>
      <c r="BC81" s="78"/>
      <c r="BD81" s="278" t="s">
        <v>490</v>
      </c>
      <c r="BE81" t="str">
        <f t="shared" si="7"/>
        <v>EllieDigneyThere and back again Intermediate 7-9Novice</v>
      </c>
    </row>
    <row r="82" spans="1:57">
      <c r="A82" s="3" t="s">
        <v>143</v>
      </c>
      <c r="B82" s="3" t="s">
        <v>37</v>
      </c>
      <c r="C82" s="3" t="s">
        <v>38</v>
      </c>
      <c r="D82" s="202" t="s">
        <v>222</v>
      </c>
      <c r="E82" s="216"/>
      <c r="F82" s="88">
        <f>J82+N82+R82+Z82+AD82+AH82+AL82+AP82+AT82</f>
        <v>18</v>
      </c>
      <c r="G82" s="78"/>
      <c r="H82" s="76">
        <v>2.1</v>
      </c>
      <c r="I82" s="16"/>
      <c r="J82" s="107"/>
      <c r="K82" s="78"/>
      <c r="L82" s="76">
        <v>2.2000000000000002</v>
      </c>
      <c r="M82" s="16"/>
      <c r="N82" s="111"/>
      <c r="O82" s="78"/>
      <c r="P82" s="19">
        <v>2.1</v>
      </c>
      <c r="Q82" s="11">
        <v>64.712000000000003</v>
      </c>
      <c r="R82" s="88">
        <v>18</v>
      </c>
      <c r="S82" s="78">
        <v>18</v>
      </c>
      <c r="T82" s="19">
        <v>2.2000000000000002</v>
      </c>
      <c r="U82" s="11">
        <v>59.530999999999999</v>
      </c>
      <c r="V82" s="251" t="s">
        <v>31</v>
      </c>
      <c r="W82" s="78"/>
      <c r="X82" s="76">
        <v>2.1</v>
      </c>
      <c r="Y82" s="16"/>
      <c r="Z82" s="107"/>
      <c r="AA82" s="82"/>
      <c r="AB82" s="22">
        <v>2.2000000000000002</v>
      </c>
      <c r="AC82" s="16"/>
      <c r="AD82" s="111"/>
      <c r="AE82" s="78"/>
      <c r="AF82" s="76">
        <v>2.2000000000000002</v>
      </c>
      <c r="AG82" s="322">
        <v>0.56484374999999998</v>
      </c>
      <c r="AH82" s="88">
        <v>0</v>
      </c>
      <c r="AI82" s="78" t="s">
        <v>493</v>
      </c>
      <c r="AJ82" s="76">
        <v>2.2999999999999998</v>
      </c>
      <c r="AK82" s="322">
        <v>0.55859999999999999</v>
      </c>
      <c r="AL82" s="88">
        <v>0</v>
      </c>
      <c r="AM82" s="78" t="s">
        <v>493</v>
      </c>
      <c r="AN82" s="76">
        <v>2.2000000000000002</v>
      </c>
      <c r="AO82" s="11"/>
      <c r="AP82" s="88"/>
      <c r="AQ82" s="78"/>
      <c r="AR82" s="76">
        <v>2.2999999999999998</v>
      </c>
      <c r="AS82" s="11"/>
      <c r="AT82" s="88"/>
      <c r="AU82" s="78"/>
      <c r="AV82" s="76">
        <v>2.2000000000000002</v>
      </c>
      <c r="AW82" s="11"/>
      <c r="AX82" s="88"/>
      <c r="AY82" s="78"/>
      <c r="AZ82" s="76">
        <v>2.2999999999999998</v>
      </c>
      <c r="BA82" s="11"/>
      <c r="BB82" s="88"/>
      <c r="BC82" s="78"/>
      <c r="BD82" s="278" t="s">
        <v>490</v>
      </c>
      <c r="BE82" t="str">
        <f t="shared" si="7"/>
        <v>SophieMeaneySkye's The LimitsIntermediate 7-9Novice</v>
      </c>
    </row>
    <row r="83" spans="1:57">
      <c r="A83" s="3" t="s">
        <v>276</v>
      </c>
      <c r="B83" s="3" t="s">
        <v>78</v>
      </c>
      <c r="C83" s="202" t="s">
        <v>79</v>
      </c>
      <c r="D83" s="202" t="s">
        <v>277</v>
      </c>
      <c r="E83" s="216"/>
      <c r="F83" s="88">
        <f t="shared" si="6"/>
        <v>0</v>
      </c>
      <c r="G83" s="78"/>
      <c r="H83" s="76">
        <v>2.1</v>
      </c>
      <c r="I83" s="16"/>
      <c r="J83" s="107"/>
      <c r="K83" s="78"/>
      <c r="L83" s="76">
        <v>2.2000000000000002</v>
      </c>
      <c r="M83" s="16"/>
      <c r="N83" s="111"/>
      <c r="O83" s="78"/>
      <c r="P83" s="19">
        <v>2.1</v>
      </c>
      <c r="Q83" s="11"/>
      <c r="R83" s="88"/>
      <c r="S83" s="78"/>
      <c r="T83" s="19">
        <v>2.2000000000000002</v>
      </c>
      <c r="U83" s="11"/>
      <c r="V83" s="88"/>
      <c r="W83" s="78"/>
      <c r="X83" s="76">
        <v>2.1</v>
      </c>
      <c r="Y83" s="16"/>
      <c r="Z83" s="107"/>
      <c r="AA83" s="82"/>
      <c r="AB83" s="22">
        <v>2.2000000000000002</v>
      </c>
      <c r="AC83" s="16"/>
      <c r="AD83" s="111"/>
      <c r="AE83" s="78"/>
      <c r="AF83" s="76">
        <v>2.2000000000000002</v>
      </c>
      <c r="AG83" s="322">
        <v>0</v>
      </c>
      <c r="AH83" s="88">
        <v>0</v>
      </c>
      <c r="AI83" s="78" t="s">
        <v>493</v>
      </c>
      <c r="AJ83" s="76">
        <v>2.2999999999999998</v>
      </c>
      <c r="AK83" s="322">
        <v>0</v>
      </c>
      <c r="AL83" s="88">
        <v>0</v>
      </c>
      <c r="AM83" s="78" t="s">
        <v>493</v>
      </c>
      <c r="AN83" s="76">
        <v>2.2000000000000002</v>
      </c>
      <c r="AO83" s="11"/>
      <c r="AP83" s="88"/>
      <c r="AQ83" s="78"/>
      <c r="AR83" s="76">
        <v>2.2999999999999998</v>
      </c>
      <c r="AS83" s="11"/>
      <c r="AT83" s="88"/>
      <c r="AU83" s="78"/>
      <c r="AV83" s="76">
        <v>2.2000000000000002</v>
      </c>
      <c r="AW83" s="11"/>
      <c r="AX83" s="88"/>
      <c r="AY83" s="78"/>
      <c r="AZ83" s="76">
        <v>2.2999999999999998</v>
      </c>
      <c r="BA83" s="11"/>
      <c r="BB83" s="88"/>
      <c r="BC83" s="78"/>
      <c r="BD83" s="278" t="s">
        <v>490</v>
      </c>
      <c r="BE83" t="str">
        <f t="shared" si="7"/>
        <v>SarahWottonESB Irish Illusion Intermediate 7-9Novice</v>
      </c>
    </row>
    <row r="84" spans="1:57">
      <c r="A84" t="s">
        <v>352</v>
      </c>
      <c r="B84" t="s">
        <v>353</v>
      </c>
      <c r="C84" s="202" t="s">
        <v>63</v>
      </c>
      <c r="D84" s="3" t="s">
        <v>354</v>
      </c>
      <c r="E84" s="216"/>
      <c r="F84" s="88">
        <f t="shared" si="6"/>
        <v>0</v>
      </c>
      <c r="G84" s="78"/>
      <c r="H84" s="76">
        <v>2.1</v>
      </c>
      <c r="I84" s="16"/>
      <c r="J84" s="107"/>
      <c r="K84" s="78"/>
      <c r="L84" s="76">
        <v>2.2000000000000002</v>
      </c>
      <c r="M84" s="16"/>
      <c r="N84" s="111"/>
      <c r="O84" s="78"/>
      <c r="P84" s="19">
        <v>2.1</v>
      </c>
      <c r="Q84" s="11"/>
      <c r="R84" s="88"/>
      <c r="S84" s="78"/>
      <c r="T84" s="19">
        <v>2.2000000000000002</v>
      </c>
      <c r="U84" s="11"/>
      <c r="V84" s="88"/>
      <c r="W84" s="78"/>
      <c r="X84" s="76">
        <v>2.1</v>
      </c>
      <c r="Y84" s="16"/>
      <c r="Z84" s="107"/>
      <c r="AA84" s="82"/>
      <c r="AB84" s="22">
        <v>2.2000000000000002</v>
      </c>
      <c r="AC84" s="16"/>
      <c r="AD84" s="111"/>
      <c r="AE84" s="78"/>
      <c r="AF84" s="76">
        <v>2.2000000000000002</v>
      </c>
      <c r="AG84" s="322">
        <v>0</v>
      </c>
      <c r="AH84" s="88">
        <v>0</v>
      </c>
      <c r="AI84" s="78" t="s">
        <v>493</v>
      </c>
      <c r="AJ84" s="76">
        <v>2.2999999999999998</v>
      </c>
      <c r="AK84" s="322">
        <v>0</v>
      </c>
      <c r="AL84" s="88">
        <v>0</v>
      </c>
      <c r="AM84" s="78" t="s">
        <v>493</v>
      </c>
      <c r="AN84" s="76">
        <v>2.2000000000000002</v>
      </c>
      <c r="AO84" s="11"/>
      <c r="AP84" s="88"/>
      <c r="AQ84" s="78"/>
      <c r="AR84" s="76">
        <v>2.2999999999999998</v>
      </c>
      <c r="AS84" s="11"/>
      <c r="AT84" s="88"/>
      <c r="AU84" s="78"/>
      <c r="AV84" s="76">
        <v>2.2000000000000002</v>
      </c>
      <c r="AW84" s="11"/>
      <c r="AX84" s="88"/>
      <c r="AY84" s="78"/>
      <c r="AZ84" s="76">
        <v>2.2999999999999998</v>
      </c>
      <c r="BA84" s="11"/>
      <c r="BB84" s="88"/>
      <c r="BC84" s="78"/>
      <c r="BD84" s="278" t="s">
        <v>490</v>
      </c>
      <c r="BE84" t="str">
        <f t="shared" si="7"/>
        <v>Charlotte LeonowKenlock Super SaluteIntermediate 7-9Novice</v>
      </c>
    </row>
    <row r="85" spans="1:57">
      <c r="A85" s="3" t="s">
        <v>91</v>
      </c>
      <c r="B85" s="3" t="s">
        <v>92</v>
      </c>
      <c r="C85" s="202" t="s">
        <v>93</v>
      </c>
      <c r="D85" s="3" t="s">
        <v>94</v>
      </c>
      <c r="E85" s="205">
        <v>8</v>
      </c>
      <c r="F85" s="88">
        <f t="shared" si="6"/>
        <v>23</v>
      </c>
      <c r="G85" s="78"/>
      <c r="H85" s="76">
        <v>2.1</v>
      </c>
      <c r="I85" s="16"/>
      <c r="J85" s="107"/>
      <c r="K85" s="78"/>
      <c r="L85" s="76">
        <v>2.2000000000000002</v>
      </c>
      <c r="M85" s="16"/>
      <c r="N85" s="111"/>
      <c r="O85" s="162"/>
      <c r="P85" s="19">
        <v>2.1</v>
      </c>
      <c r="Q85" s="11"/>
      <c r="R85" s="88"/>
      <c r="S85" s="78"/>
      <c r="T85" s="19">
        <v>2.2000000000000002</v>
      </c>
      <c r="U85" s="11"/>
      <c r="V85" s="88"/>
      <c r="W85" s="78"/>
      <c r="X85" s="76">
        <v>2.1</v>
      </c>
      <c r="Y85" s="16"/>
      <c r="Z85" s="107"/>
      <c r="AA85" s="82"/>
      <c r="AB85" s="22">
        <v>2.2000000000000002</v>
      </c>
      <c r="AC85" s="16"/>
      <c r="AD85" s="111"/>
      <c r="AE85" s="162"/>
      <c r="AF85" s="76">
        <v>2.2000000000000002</v>
      </c>
      <c r="AG85" s="322">
        <v>0.62578124999999996</v>
      </c>
      <c r="AH85" s="88">
        <v>23</v>
      </c>
      <c r="AI85" s="78">
        <v>18</v>
      </c>
      <c r="AJ85" s="76">
        <v>2.2999999999999998</v>
      </c>
      <c r="AK85" s="322">
        <v>0.58145000000000002</v>
      </c>
      <c r="AL85" s="88">
        <v>0</v>
      </c>
      <c r="AM85" s="78" t="s">
        <v>493</v>
      </c>
      <c r="AN85" s="76">
        <v>2.2000000000000002</v>
      </c>
      <c r="AO85" s="11"/>
      <c r="AP85" s="88"/>
      <c r="AQ85" s="78"/>
      <c r="AR85" s="76">
        <v>2.2999999999999998</v>
      </c>
      <c r="AS85" s="11"/>
      <c r="AT85" s="88"/>
      <c r="AU85" s="78"/>
      <c r="AV85" s="76">
        <v>2.2000000000000002</v>
      </c>
      <c r="AW85" s="11"/>
      <c r="AX85" s="88"/>
      <c r="AY85" s="78"/>
      <c r="AZ85" s="76">
        <v>2.2999999999999998</v>
      </c>
      <c r="BA85" s="11"/>
      <c r="BB85" s="88"/>
      <c r="BC85" s="78"/>
      <c r="BD85" s="278" t="s">
        <v>490</v>
      </c>
      <c r="BE85" t="str">
        <f t="shared" si="7"/>
        <v>SelenaMartiensenLazy D White ChocolateIntermediate 7-9Novice</v>
      </c>
    </row>
    <row r="86" spans="1:57">
      <c r="A86" s="3" t="s">
        <v>99</v>
      </c>
      <c r="B86" s="3" t="s">
        <v>217</v>
      </c>
      <c r="C86" s="202" t="s">
        <v>218</v>
      </c>
      <c r="D86" s="3" t="s">
        <v>220</v>
      </c>
      <c r="E86" s="216"/>
      <c r="F86" s="88">
        <f t="shared" si="6"/>
        <v>125</v>
      </c>
      <c r="G86" s="78">
        <f>SUM(AA86,AI86)</f>
        <v>39</v>
      </c>
      <c r="H86" s="76">
        <v>2.1</v>
      </c>
      <c r="I86" s="245"/>
      <c r="J86" s="109"/>
      <c r="K86" s="85"/>
      <c r="L86" s="76">
        <v>2.2000000000000002</v>
      </c>
      <c r="M86" s="245"/>
      <c r="N86" s="152"/>
      <c r="O86" s="80"/>
      <c r="P86" s="19">
        <v>2.1</v>
      </c>
      <c r="Q86" s="11">
        <v>67.5</v>
      </c>
      <c r="R86" s="89">
        <v>19</v>
      </c>
      <c r="S86" s="85">
        <v>19</v>
      </c>
      <c r="T86" s="19">
        <v>2.2000000000000002</v>
      </c>
      <c r="U86" s="11">
        <v>61.719000000000001</v>
      </c>
      <c r="V86" s="89">
        <v>19</v>
      </c>
      <c r="W86" s="85"/>
      <c r="X86" s="76">
        <v>2.1</v>
      </c>
      <c r="Y86" s="245">
        <v>64.037999999999997</v>
      </c>
      <c r="Z86" s="109">
        <v>20</v>
      </c>
      <c r="AA86" s="83">
        <v>20</v>
      </c>
      <c r="AB86" s="22">
        <v>2.2000000000000002</v>
      </c>
      <c r="AC86" s="245">
        <v>63.203000000000003</v>
      </c>
      <c r="AD86" s="152">
        <v>20</v>
      </c>
      <c r="AE86" s="80">
        <v>20</v>
      </c>
      <c r="AF86" s="76">
        <v>2.2000000000000002</v>
      </c>
      <c r="AG86" s="322">
        <v>0.62578124999999996</v>
      </c>
      <c r="AH86" s="88">
        <v>24</v>
      </c>
      <c r="AI86" s="78">
        <v>19</v>
      </c>
      <c r="AJ86" s="76">
        <v>2.2999999999999998</v>
      </c>
      <c r="AK86" s="322">
        <v>0.62214999999999998</v>
      </c>
      <c r="AL86" s="88">
        <v>23</v>
      </c>
      <c r="AM86" s="78">
        <v>18</v>
      </c>
      <c r="AN86" s="76">
        <v>2.2000000000000002</v>
      </c>
      <c r="AO86" s="11"/>
      <c r="AP86" s="89"/>
      <c r="AQ86" s="85"/>
      <c r="AR86" s="76">
        <v>2.2999999999999998</v>
      </c>
      <c r="AS86" s="11"/>
      <c r="AT86" s="89"/>
      <c r="AU86" s="85"/>
      <c r="AV86" s="76">
        <v>2.2000000000000002</v>
      </c>
      <c r="AW86" s="11"/>
      <c r="AX86" s="89"/>
      <c r="AY86" s="85"/>
      <c r="AZ86" s="76">
        <v>2.2999999999999998</v>
      </c>
      <c r="BA86" s="11"/>
      <c r="BB86" s="89"/>
      <c r="BC86" s="85"/>
      <c r="BD86" s="278" t="s">
        <v>490</v>
      </c>
      <c r="BE86" t="str">
        <f t="shared" si="7"/>
        <v>StellaMarcusRivington Folk RockIntermediate 7-9Novice</v>
      </c>
    </row>
    <row r="87" spans="1:57" ht="16.5" thickBot="1">
      <c r="A87" s="3" t="s">
        <v>99</v>
      </c>
      <c r="B87" s="3" t="s">
        <v>217</v>
      </c>
      <c r="C87" s="202" t="s">
        <v>218</v>
      </c>
      <c r="D87" s="3" t="s">
        <v>219</v>
      </c>
      <c r="E87" s="216">
        <v>8</v>
      </c>
      <c r="F87" s="90">
        <f t="shared" si="6"/>
        <v>124</v>
      </c>
      <c r="G87" s="86">
        <f>SUM(S87,AM87)</f>
        <v>40</v>
      </c>
      <c r="H87" s="74">
        <v>2.1</v>
      </c>
      <c r="I87" s="18"/>
      <c r="J87" s="108"/>
      <c r="K87" s="86"/>
      <c r="L87" s="74">
        <v>2.2000000000000002</v>
      </c>
      <c r="M87" s="18"/>
      <c r="N87" s="112"/>
      <c r="O87" s="86"/>
      <c r="P87" s="19">
        <v>2.1</v>
      </c>
      <c r="Q87" s="11">
        <v>68.173000000000002</v>
      </c>
      <c r="R87" s="90">
        <v>20</v>
      </c>
      <c r="S87" s="86">
        <v>20</v>
      </c>
      <c r="T87" s="19">
        <v>2.2000000000000002</v>
      </c>
      <c r="U87" s="11">
        <v>63.594000000000001</v>
      </c>
      <c r="V87" s="90">
        <v>20</v>
      </c>
      <c r="W87" s="86"/>
      <c r="X87" s="76">
        <v>2.1</v>
      </c>
      <c r="Y87" s="18">
        <v>63.365000000000002</v>
      </c>
      <c r="Z87" s="108">
        <v>19</v>
      </c>
      <c r="AA87" s="84">
        <v>19</v>
      </c>
      <c r="AB87" s="22">
        <v>2.2000000000000002</v>
      </c>
      <c r="AC87" s="18">
        <v>62.578000000000003</v>
      </c>
      <c r="AD87" s="112">
        <v>19</v>
      </c>
      <c r="AE87" s="86">
        <v>19</v>
      </c>
      <c r="AF87" s="76">
        <v>2.2000000000000002</v>
      </c>
      <c r="AG87" s="322">
        <v>0.61015624999999996</v>
      </c>
      <c r="AH87" s="88">
        <v>21</v>
      </c>
      <c r="AI87" s="78">
        <v>16</v>
      </c>
      <c r="AJ87" s="76">
        <v>2.2999999999999998</v>
      </c>
      <c r="AK87" s="322">
        <v>0.68145</v>
      </c>
      <c r="AL87" s="88">
        <v>25</v>
      </c>
      <c r="AM87" s="78">
        <v>20</v>
      </c>
      <c r="AN87" s="76">
        <v>2.2000000000000002</v>
      </c>
      <c r="AO87" s="11"/>
      <c r="AP87" s="90"/>
      <c r="AQ87" s="86"/>
      <c r="AR87" s="76">
        <v>2.2999999999999998</v>
      </c>
      <c r="AS87" s="11"/>
      <c r="AT87" s="90"/>
      <c r="AU87" s="86"/>
      <c r="AV87" s="76">
        <v>2.2000000000000002</v>
      </c>
      <c r="AW87" s="11"/>
      <c r="AX87" s="90"/>
      <c r="AY87" s="86"/>
      <c r="AZ87" s="76">
        <v>2.2999999999999998</v>
      </c>
      <c r="BA87" s="11"/>
      <c r="BB87" s="90"/>
      <c r="BC87" s="86"/>
      <c r="BD87" s="278" t="s">
        <v>490</v>
      </c>
      <c r="BE87" t="str">
        <f t="shared" si="7"/>
        <v>StellaMarcusRiving Gale ForceIntermediate 7-9Novice</v>
      </c>
    </row>
    <row r="88" spans="1:57">
      <c r="A88" s="7"/>
      <c r="B88" s="7"/>
      <c r="C88" s="7"/>
      <c r="D88" s="73"/>
      <c r="E88" s="73"/>
      <c r="AF88" s="9"/>
      <c r="AJ88" s="9"/>
      <c r="AN88" s="9"/>
      <c r="AR88" s="9"/>
      <c r="AV88" s="9"/>
      <c r="AZ88" s="9"/>
    </row>
    <row r="89" spans="1:57" ht="16.5" thickBot="1">
      <c r="A89" s="7"/>
      <c r="B89" s="7"/>
      <c r="C89" s="7"/>
      <c r="D89" s="73"/>
      <c r="E89" s="73"/>
      <c r="H89" s="45"/>
      <c r="R89" s="9"/>
      <c r="S89" s="9"/>
      <c r="V89" s="9"/>
      <c r="W89" s="9"/>
      <c r="X89" s="45"/>
    </row>
    <row r="90" spans="1:57" ht="24" thickBot="1">
      <c r="A90" s="7"/>
      <c r="B90" s="7"/>
      <c r="H90" s="418" t="s">
        <v>290</v>
      </c>
      <c r="I90" s="441"/>
      <c r="J90" s="441"/>
      <c r="K90" s="463"/>
      <c r="L90" s="463"/>
      <c r="M90" s="463"/>
      <c r="N90" s="463"/>
      <c r="O90" s="412"/>
      <c r="P90" s="390" t="s">
        <v>329</v>
      </c>
      <c r="Q90" s="391"/>
      <c r="R90" s="391"/>
      <c r="S90" s="391"/>
      <c r="T90" s="391"/>
      <c r="U90" s="391"/>
      <c r="V90" s="391"/>
      <c r="W90" s="392"/>
      <c r="X90" s="402" t="s">
        <v>512</v>
      </c>
      <c r="Y90" s="444"/>
      <c r="Z90" s="444"/>
      <c r="AA90" s="444"/>
      <c r="AB90" s="444"/>
      <c r="AC90" s="444"/>
      <c r="AD90" s="444"/>
      <c r="AE90" s="445"/>
      <c r="AF90" s="410" t="s">
        <v>330</v>
      </c>
      <c r="AG90" s="411"/>
      <c r="AH90" s="411"/>
      <c r="AI90" s="446"/>
      <c r="AJ90" s="446"/>
      <c r="AK90" s="446"/>
      <c r="AL90" s="446"/>
      <c r="AM90" s="447"/>
      <c r="AN90" s="455" t="s">
        <v>293</v>
      </c>
      <c r="AO90" s="456"/>
      <c r="AP90" s="456"/>
      <c r="AQ90" s="457"/>
      <c r="AR90" s="457"/>
      <c r="AS90" s="457"/>
      <c r="AT90" s="457"/>
      <c r="AU90" s="458"/>
      <c r="AV90" s="455" t="s">
        <v>331</v>
      </c>
      <c r="AW90" s="456"/>
      <c r="AX90" s="456"/>
      <c r="AY90" s="457"/>
      <c r="AZ90" s="457"/>
      <c r="BA90" s="457"/>
      <c r="BB90" s="457"/>
      <c r="BC90" s="458"/>
    </row>
    <row r="91" spans="1:57" ht="47.25">
      <c r="A91" s="422" t="s">
        <v>357</v>
      </c>
      <c r="B91" s="423"/>
      <c r="C91" s="423"/>
      <c r="D91" s="423"/>
      <c r="E91" s="423"/>
      <c r="F91" s="117" t="s">
        <v>9</v>
      </c>
      <c r="G91" s="51" t="s">
        <v>10</v>
      </c>
      <c r="H91" s="46" t="s">
        <v>333</v>
      </c>
      <c r="I91" s="44" t="s">
        <v>334</v>
      </c>
      <c r="J91" s="92" t="s">
        <v>15</v>
      </c>
      <c r="K91" s="51" t="s">
        <v>16</v>
      </c>
      <c r="L91" s="46" t="s">
        <v>333</v>
      </c>
      <c r="M91" s="52" t="s">
        <v>334</v>
      </c>
      <c r="N91" s="97" t="s">
        <v>15</v>
      </c>
      <c r="O91" s="51" t="s">
        <v>16</v>
      </c>
      <c r="P91" s="46" t="s">
        <v>333</v>
      </c>
      <c r="Q91" s="52" t="s">
        <v>334</v>
      </c>
      <c r="R91" s="97" t="s">
        <v>15</v>
      </c>
      <c r="S91" s="51" t="s">
        <v>16</v>
      </c>
      <c r="T91" s="46" t="s">
        <v>333</v>
      </c>
      <c r="U91" s="52" t="s">
        <v>334</v>
      </c>
      <c r="V91" s="97" t="s">
        <v>15</v>
      </c>
      <c r="W91" s="51" t="s">
        <v>16</v>
      </c>
      <c r="X91" s="46" t="s">
        <v>333</v>
      </c>
      <c r="Y91" s="52" t="s">
        <v>334</v>
      </c>
      <c r="Z91" s="92" t="s">
        <v>15</v>
      </c>
      <c r="AA91" s="51" t="s">
        <v>16</v>
      </c>
      <c r="AB91" s="46" t="s">
        <v>333</v>
      </c>
      <c r="AC91" s="52" t="s">
        <v>334</v>
      </c>
      <c r="AD91" s="97" t="s">
        <v>15</v>
      </c>
      <c r="AE91" s="51" t="s">
        <v>16</v>
      </c>
      <c r="AF91" s="307" t="s">
        <v>333</v>
      </c>
      <c r="AG91" s="327" t="s">
        <v>334</v>
      </c>
      <c r="AH91" s="308" t="s">
        <v>15</v>
      </c>
      <c r="AI91" s="309" t="s">
        <v>16</v>
      </c>
      <c r="AJ91" s="307" t="s">
        <v>333</v>
      </c>
      <c r="AK91" s="327" t="s">
        <v>334</v>
      </c>
      <c r="AL91" s="308" t="s">
        <v>15</v>
      </c>
      <c r="AM91" s="309" t="s">
        <v>16</v>
      </c>
      <c r="AN91" s="307" t="s">
        <v>333</v>
      </c>
      <c r="AO91" s="320" t="s">
        <v>334</v>
      </c>
      <c r="AP91" s="308" t="s">
        <v>15</v>
      </c>
      <c r="AQ91" s="309" t="s">
        <v>16</v>
      </c>
      <c r="AR91" s="307" t="s">
        <v>333</v>
      </c>
      <c r="AS91" s="320" t="s">
        <v>334</v>
      </c>
      <c r="AT91" s="308" t="s">
        <v>15</v>
      </c>
      <c r="AU91" s="309" t="s">
        <v>16</v>
      </c>
      <c r="AV91" s="46" t="s">
        <v>333</v>
      </c>
      <c r="AW91" s="56" t="s">
        <v>334</v>
      </c>
      <c r="AX91" s="97" t="s">
        <v>15</v>
      </c>
      <c r="AY91" s="51" t="s">
        <v>16</v>
      </c>
      <c r="AZ91" s="46" t="s">
        <v>333</v>
      </c>
      <c r="BA91" s="56" t="s">
        <v>334</v>
      </c>
      <c r="BB91" s="97" t="s">
        <v>15</v>
      </c>
      <c r="BC91" s="51" t="s">
        <v>16</v>
      </c>
      <c r="BD91" t="s">
        <v>507</v>
      </c>
    </row>
    <row r="92" spans="1:57" s="43" customFormat="1">
      <c r="A92" s="1" t="s">
        <v>22</v>
      </c>
      <c r="B92" s="1" t="s">
        <v>23</v>
      </c>
      <c r="C92" s="4" t="s">
        <v>24</v>
      </c>
      <c r="D92" s="1" t="s">
        <v>25</v>
      </c>
      <c r="E92" s="4" t="s">
        <v>26</v>
      </c>
      <c r="F92" s="89">
        <f t="shared" ref="F92:F108" si="8">J92+N92+R92+V92+Z92+AD92+AH92+AL92+AP92+AT92</f>
        <v>0</v>
      </c>
      <c r="G92" s="375"/>
      <c r="H92" s="75"/>
      <c r="I92" s="16"/>
      <c r="J92" s="107"/>
      <c r="K92" s="78"/>
      <c r="L92" s="76"/>
      <c r="M92" s="11"/>
      <c r="N92" s="88"/>
      <c r="O92" s="78"/>
      <c r="P92" s="19"/>
      <c r="Q92" s="29"/>
      <c r="R92" s="104"/>
      <c r="S92" s="137"/>
      <c r="T92" s="19"/>
      <c r="U92" s="29"/>
      <c r="V92" s="104"/>
      <c r="W92" s="137"/>
      <c r="X92" s="75"/>
      <c r="Y92" s="11"/>
      <c r="Z92" s="107"/>
      <c r="AA92" s="78"/>
      <c r="AB92" s="76"/>
      <c r="AC92" s="11"/>
      <c r="AD92" s="88"/>
      <c r="AE92" s="78"/>
      <c r="AF92" s="317"/>
      <c r="AG92" s="328"/>
      <c r="AH92" s="310"/>
      <c r="AI92" s="311"/>
      <c r="AJ92" s="315"/>
      <c r="AK92" s="328"/>
      <c r="AL92" s="310"/>
      <c r="AM92" s="311"/>
      <c r="AN92" s="317"/>
      <c r="AO92" s="205"/>
      <c r="AP92" s="310"/>
      <c r="AQ92" s="311"/>
      <c r="AR92" s="315"/>
      <c r="AS92" s="205"/>
      <c r="AT92" s="310"/>
      <c r="AU92" s="311"/>
      <c r="AV92" s="15"/>
      <c r="AW92" s="11"/>
      <c r="AX92" s="88"/>
      <c r="AY92" s="78"/>
      <c r="AZ92" s="76"/>
      <c r="BA92" s="11"/>
      <c r="BB92" s="88"/>
      <c r="BC92" s="78"/>
      <c r="BD92" s="279" t="s">
        <v>491</v>
      </c>
      <c r="BE92" t="str">
        <f>A92&amp;B92&amp;D92&amp;BD92&amp;$BD$91</f>
        <v>Rider First NameRider Last NameName of Pony/HorseSecondary &gt;9Prelim</v>
      </c>
    </row>
    <row r="93" spans="1:57">
      <c r="A93" s="3" t="s">
        <v>235</v>
      </c>
      <c r="B93" t="s">
        <v>236</v>
      </c>
      <c r="C93" s="205" t="s">
        <v>63</v>
      </c>
      <c r="D93" s="202" t="s">
        <v>237</v>
      </c>
      <c r="E93" s="205">
        <v>12</v>
      </c>
      <c r="F93" s="88">
        <f t="shared" si="8"/>
        <v>60</v>
      </c>
      <c r="G93" s="96">
        <f>SUM(O93,V93)</f>
        <v>40</v>
      </c>
      <c r="H93" s="75">
        <v>1.1000000000000001</v>
      </c>
      <c r="I93" s="16"/>
      <c r="J93" s="107"/>
      <c r="K93" s="78"/>
      <c r="L93" s="75">
        <v>1.2</v>
      </c>
      <c r="M93" s="11">
        <v>62.142000000000003</v>
      </c>
      <c r="N93" s="88">
        <v>20</v>
      </c>
      <c r="O93" s="78">
        <v>20</v>
      </c>
      <c r="P93" s="19">
        <v>1.1000000000000001</v>
      </c>
      <c r="Q93" s="11">
        <v>64.7</v>
      </c>
      <c r="R93" s="88">
        <v>20</v>
      </c>
      <c r="S93" s="78"/>
      <c r="T93" s="19">
        <v>1.2</v>
      </c>
      <c r="U93" s="11">
        <v>65.893000000000001</v>
      </c>
      <c r="V93" s="88">
        <v>20</v>
      </c>
      <c r="W93" s="78"/>
      <c r="X93" s="75">
        <v>1.1000000000000001</v>
      </c>
      <c r="Y93" s="11"/>
      <c r="Z93" s="107"/>
      <c r="AA93" s="78"/>
      <c r="AB93" s="76">
        <v>1.2</v>
      </c>
      <c r="AC93" s="11"/>
      <c r="AD93" s="88"/>
      <c r="AE93" s="78"/>
      <c r="AF93" s="317">
        <v>1.2</v>
      </c>
      <c r="AG93" s="318">
        <v>0</v>
      </c>
      <c r="AH93" s="310">
        <v>0</v>
      </c>
      <c r="AI93" s="311"/>
      <c r="AJ93" s="315">
        <v>1.3</v>
      </c>
      <c r="AK93" s="318">
        <v>0</v>
      </c>
      <c r="AL93" s="310">
        <v>0</v>
      </c>
      <c r="AM93" s="311"/>
      <c r="AN93" s="378">
        <v>1.2</v>
      </c>
      <c r="AO93" s="205"/>
      <c r="AP93" s="310"/>
      <c r="AQ93" s="311"/>
      <c r="AR93" s="315">
        <v>1.3</v>
      </c>
      <c r="AS93" s="205"/>
      <c r="AT93" s="310"/>
      <c r="AU93" s="311"/>
      <c r="AV93" s="22">
        <v>1.2</v>
      </c>
      <c r="AW93" s="11"/>
      <c r="AX93" s="88"/>
      <c r="AY93" s="78"/>
      <c r="AZ93" s="76">
        <v>1.3</v>
      </c>
      <c r="BA93" s="11"/>
      <c r="BB93" s="88"/>
      <c r="BC93" s="78"/>
      <c r="BD93" s="279" t="s">
        <v>491</v>
      </c>
      <c r="BE93" t="str">
        <f t="shared" ref="BE93:BE105" si="9">A93&amp;B93&amp;D93&amp;BD93&amp;$BD$91</f>
        <v>LucindaHoppeDalpura Bullets and BowsSecondary &gt;9Prelim</v>
      </c>
    </row>
    <row r="94" spans="1:57" ht="17.25" customHeight="1">
      <c r="A94" s="3" t="s">
        <v>129</v>
      </c>
      <c r="B94" s="3" t="s">
        <v>130</v>
      </c>
      <c r="C94" s="202" t="s">
        <v>63</v>
      </c>
      <c r="D94" s="202" t="s">
        <v>131</v>
      </c>
      <c r="E94" s="205">
        <v>11</v>
      </c>
      <c r="F94" s="88">
        <f t="shared" si="8"/>
        <v>64</v>
      </c>
      <c r="G94" s="78">
        <f>SUM(AE94,AM94)</f>
        <v>37</v>
      </c>
      <c r="H94" s="75">
        <v>1.1000000000000001</v>
      </c>
      <c r="I94" s="16"/>
      <c r="J94" s="107"/>
      <c r="K94" s="78"/>
      <c r="L94" s="75">
        <v>1.2</v>
      </c>
      <c r="M94" s="11"/>
      <c r="N94" s="88"/>
      <c r="O94" s="78"/>
      <c r="P94" s="19">
        <v>1.1000000000000001</v>
      </c>
      <c r="Q94" s="11"/>
      <c r="R94" s="100"/>
      <c r="S94" s="113"/>
      <c r="T94" s="19">
        <v>1.2</v>
      </c>
      <c r="U94" s="11"/>
      <c r="V94" s="100"/>
      <c r="W94" s="113"/>
      <c r="X94" s="75">
        <v>1.1000000000000001</v>
      </c>
      <c r="Y94" s="11"/>
      <c r="Z94" s="107"/>
      <c r="AA94" s="78"/>
      <c r="AB94" s="76">
        <v>1.2</v>
      </c>
      <c r="AC94" s="11">
        <v>68.570999999999998</v>
      </c>
      <c r="AD94" s="88">
        <v>18</v>
      </c>
      <c r="AE94" s="78">
        <v>18</v>
      </c>
      <c r="AF94" s="317">
        <v>1.2</v>
      </c>
      <c r="AG94" s="318">
        <v>0.66339999999999999</v>
      </c>
      <c r="AH94" s="310">
        <v>22</v>
      </c>
      <c r="AI94" s="311">
        <v>17</v>
      </c>
      <c r="AJ94" s="315">
        <v>1.3</v>
      </c>
      <c r="AK94" s="318">
        <v>0.68130000000000002</v>
      </c>
      <c r="AL94" s="310">
        <v>24</v>
      </c>
      <c r="AM94" s="311">
        <v>19</v>
      </c>
      <c r="AN94" s="378">
        <v>1.2</v>
      </c>
      <c r="AO94" s="205"/>
      <c r="AP94" s="310"/>
      <c r="AQ94" s="311"/>
      <c r="AR94" s="315">
        <v>1.3</v>
      </c>
      <c r="AS94" s="205"/>
      <c r="AT94" s="310"/>
      <c r="AU94" s="311"/>
      <c r="AV94" s="22">
        <v>1.2</v>
      </c>
      <c r="AW94" s="11"/>
      <c r="AX94" s="88"/>
      <c r="AY94" s="78"/>
      <c r="AZ94" s="76">
        <v>1.3</v>
      </c>
      <c r="BA94" s="11"/>
      <c r="BB94" s="88"/>
      <c r="BC94" s="78"/>
      <c r="BD94" s="279" t="s">
        <v>491</v>
      </c>
      <c r="BE94" t="str">
        <f t="shared" si="9"/>
        <v>SabelaMooreForrest GumppSecondary &gt;9Prelim</v>
      </c>
    </row>
    <row r="95" spans="1:57">
      <c r="A95" s="3" t="s">
        <v>109</v>
      </c>
      <c r="B95" s="3" t="s">
        <v>110</v>
      </c>
      <c r="C95" s="202" t="s">
        <v>111</v>
      </c>
      <c r="D95" s="202" t="s">
        <v>112</v>
      </c>
      <c r="E95" s="205">
        <v>10</v>
      </c>
      <c r="F95" s="88">
        <f t="shared" si="8"/>
        <v>0</v>
      </c>
      <c r="G95" s="96"/>
      <c r="H95" s="75">
        <v>1.1000000000000001</v>
      </c>
      <c r="I95" s="16"/>
      <c r="J95" s="107"/>
      <c r="K95" s="78"/>
      <c r="L95" s="75">
        <v>1.2</v>
      </c>
      <c r="M95" s="11"/>
      <c r="N95" s="88"/>
      <c r="O95" s="78"/>
      <c r="P95" s="19">
        <v>1.1000000000000001</v>
      </c>
      <c r="Q95" s="11"/>
      <c r="R95" s="88"/>
      <c r="S95" s="78"/>
      <c r="T95" s="19">
        <v>1.2</v>
      </c>
      <c r="U95" s="11"/>
      <c r="V95" s="88"/>
      <c r="W95" s="78"/>
      <c r="X95" s="75">
        <v>1.1000000000000001</v>
      </c>
      <c r="Y95" s="11"/>
      <c r="Z95" s="107"/>
      <c r="AA95" s="78"/>
      <c r="AB95" s="76">
        <v>1.2</v>
      </c>
      <c r="AC95" s="11"/>
      <c r="AD95" s="88"/>
      <c r="AE95" s="78"/>
      <c r="AF95" s="317">
        <v>1.2</v>
      </c>
      <c r="AG95" s="318">
        <v>0</v>
      </c>
      <c r="AH95" s="310">
        <v>0</v>
      </c>
      <c r="AI95" s="311"/>
      <c r="AJ95" s="315">
        <v>1.3</v>
      </c>
      <c r="AK95" s="318">
        <v>0</v>
      </c>
      <c r="AL95" s="310">
        <v>0</v>
      </c>
      <c r="AM95" s="311"/>
      <c r="AN95" s="378">
        <v>1.2</v>
      </c>
      <c r="AO95" s="205"/>
      <c r="AP95" s="310"/>
      <c r="AQ95" s="311"/>
      <c r="AR95" s="315">
        <v>1.3</v>
      </c>
      <c r="AS95" s="205"/>
      <c r="AT95" s="310"/>
      <c r="AU95" s="311"/>
      <c r="AV95" s="22">
        <v>1.2</v>
      </c>
      <c r="AW95" s="11"/>
      <c r="AX95" s="88"/>
      <c r="AY95" s="78"/>
      <c r="AZ95" s="76">
        <v>1.3</v>
      </c>
      <c r="BA95" s="11"/>
      <c r="BB95" s="88"/>
      <c r="BC95" s="78"/>
      <c r="BD95" s="279" t="s">
        <v>491</v>
      </c>
      <c r="BE95" t="str">
        <f t="shared" si="9"/>
        <v>ElizaSpiersHillswood Beatrice Secondary &gt;9Prelim</v>
      </c>
    </row>
    <row r="96" spans="1:57">
      <c r="A96" s="14" t="s">
        <v>143</v>
      </c>
      <c r="B96" t="s">
        <v>245</v>
      </c>
      <c r="C96" s="219" t="s">
        <v>63</v>
      </c>
      <c r="D96" s="219" t="s">
        <v>246</v>
      </c>
      <c r="E96" s="205">
        <v>12</v>
      </c>
      <c r="F96" s="88">
        <f t="shared" si="8"/>
        <v>0</v>
      </c>
      <c r="G96" s="96"/>
      <c r="H96" s="75">
        <v>1.1000000000000001</v>
      </c>
      <c r="I96" s="16"/>
      <c r="J96" s="107"/>
      <c r="K96" s="78"/>
      <c r="L96" s="75">
        <v>1.2</v>
      </c>
      <c r="M96" s="158"/>
      <c r="N96" s="88"/>
      <c r="O96" s="78"/>
      <c r="P96" s="19">
        <v>1.1000000000000001</v>
      </c>
      <c r="Q96" s="11"/>
      <c r="R96" s="88"/>
      <c r="S96" s="78"/>
      <c r="T96" s="19">
        <v>1.2</v>
      </c>
      <c r="U96" s="11"/>
      <c r="V96" s="88"/>
      <c r="W96" s="78"/>
      <c r="X96" s="75">
        <v>1.1000000000000001</v>
      </c>
      <c r="Y96" s="11"/>
      <c r="Z96" s="107"/>
      <c r="AA96" s="78"/>
      <c r="AB96" s="76">
        <v>1.2</v>
      </c>
      <c r="AC96" s="158"/>
      <c r="AD96" s="88"/>
      <c r="AE96" s="78"/>
      <c r="AF96" s="317">
        <v>1.2</v>
      </c>
      <c r="AG96" s="318">
        <v>0</v>
      </c>
      <c r="AH96" s="310">
        <v>0</v>
      </c>
      <c r="AI96" s="311"/>
      <c r="AJ96" s="315">
        <v>1.3</v>
      </c>
      <c r="AK96" s="318">
        <v>0</v>
      </c>
      <c r="AL96" s="310">
        <v>0</v>
      </c>
      <c r="AM96" s="311"/>
      <c r="AN96" s="378">
        <v>1.2</v>
      </c>
      <c r="AO96" s="205"/>
      <c r="AP96" s="310"/>
      <c r="AQ96" s="311"/>
      <c r="AR96" s="315">
        <v>1.3</v>
      </c>
      <c r="AS96" s="205"/>
      <c r="AT96" s="310"/>
      <c r="AU96" s="311"/>
      <c r="AV96" s="22">
        <v>1.2</v>
      </c>
      <c r="AW96" s="11"/>
      <c r="AX96" s="88"/>
      <c r="AY96" s="78"/>
      <c r="AZ96" s="76">
        <v>2.2999999999999998</v>
      </c>
      <c r="BA96" s="11"/>
      <c r="BB96" s="88"/>
      <c r="BC96" s="78"/>
      <c r="BD96" s="279" t="s">
        <v>491</v>
      </c>
      <c r="BE96" t="str">
        <f t="shared" si="9"/>
        <v>SophieGardinerSt Elmos FireSecondary &gt;9Prelim</v>
      </c>
    </row>
    <row r="97" spans="1:57">
      <c r="A97" s="3" t="s">
        <v>358</v>
      </c>
      <c r="B97" s="3" t="s">
        <v>359</v>
      </c>
      <c r="C97" s="202" t="s">
        <v>89</v>
      </c>
      <c r="D97" s="202" t="s">
        <v>360</v>
      </c>
      <c r="E97" s="5"/>
      <c r="F97" s="88">
        <f t="shared" si="8"/>
        <v>47</v>
      </c>
      <c r="G97" s="78"/>
      <c r="H97" s="75">
        <v>1.1000000000000001</v>
      </c>
      <c r="I97" s="16"/>
      <c r="J97" s="107"/>
      <c r="K97" s="78"/>
      <c r="L97" s="75">
        <v>1.2</v>
      </c>
      <c r="M97" s="11"/>
      <c r="N97" s="88"/>
      <c r="O97" s="78"/>
      <c r="P97" s="19">
        <v>1.1000000000000001</v>
      </c>
      <c r="Q97" s="11"/>
      <c r="R97" s="88"/>
      <c r="S97" s="78"/>
      <c r="T97" s="19">
        <v>1.2</v>
      </c>
      <c r="U97" s="11"/>
      <c r="V97" s="88"/>
      <c r="W97" s="78"/>
      <c r="X97" s="75">
        <v>1.1000000000000001</v>
      </c>
      <c r="Y97" s="11"/>
      <c r="Z97" s="107"/>
      <c r="AA97" s="78"/>
      <c r="AB97" s="76">
        <v>1.2</v>
      </c>
      <c r="AC97" s="11"/>
      <c r="AD97" s="88"/>
      <c r="AE97" s="78"/>
      <c r="AF97" s="317">
        <v>1.2</v>
      </c>
      <c r="AG97" s="318">
        <v>0.69289999999999996</v>
      </c>
      <c r="AH97" s="310">
        <v>24</v>
      </c>
      <c r="AI97" s="311">
        <v>19</v>
      </c>
      <c r="AJ97" s="315">
        <v>1.3</v>
      </c>
      <c r="AK97" s="318">
        <v>0.67510000000000003</v>
      </c>
      <c r="AL97" s="310">
        <v>23</v>
      </c>
      <c r="AM97" s="311">
        <v>18</v>
      </c>
      <c r="AN97" s="378">
        <v>1.2</v>
      </c>
      <c r="AO97" s="205"/>
      <c r="AP97" s="310"/>
      <c r="AQ97" s="311"/>
      <c r="AR97" s="315">
        <v>1.3</v>
      </c>
      <c r="AS97" s="205"/>
      <c r="AT97" s="310"/>
      <c r="AU97" s="311"/>
      <c r="AV97" s="22">
        <v>1.2</v>
      </c>
      <c r="AW97" s="11"/>
      <c r="AX97" s="88"/>
      <c r="AY97" s="78"/>
      <c r="AZ97" s="76">
        <v>2.2999999999999998</v>
      </c>
      <c r="BA97" s="11"/>
      <c r="BB97" s="88"/>
      <c r="BC97" s="78"/>
      <c r="BD97" s="279" t="s">
        <v>491</v>
      </c>
      <c r="BE97" t="str">
        <f t="shared" si="9"/>
        <v>AmeliaMassicciRRQ Shorty ValentinoSecondary &gt;9Prelim</v>
      </c>
    </row>
    <row r="98" spans="1:57">
      <c r="A98" s="3" t="s">
        <v>117</v>
      </c>
      <c r="B98" s="3" t="s">
        <v>118</v>
      </c>
      <c r="C98" s="202" t="s">
        <v>119</v>
      </c>
      <c r="D98" s="202" t="s">
        <v>120</v>
      </c>
      <c r="E98" s="5"/>
      <c r="F98" s="88">
        <f t="shared" si="8"/>
        <v>0</v>
      </c>
      <c r="G98" s="96"/>
      <c r="H98" s="75">
        <v>1.1000000000000001</v>
      </c>
      <c r="I98" s="16"/>
      <c r="J98" s="107"/>
      <c r="K98" s="78"/>
      <c r="L98" s="75">
        <v>1.2</v>
      </c>
      <c r="M98" s="11"/>
      <c r="N98" s="88"/>
      <c r="O98" s="78"/>
      <c r="P98" s="19">
        <v>1.1000000000000001</v>
      </c>
      <c r="Q98" s="11"/>
      <c r="R98" s="88"/>
      <c r="S98" s="78"/>
      <c r="T98" s="19">
        <v>1.2</v>
      </c>
      <c r="U98" s="11"/>
      <c r="V98" s="88"/>
      <c r="W98" s="78"/>
      <c r="X98" s="75">
        <v>1.1000000000000001</v>
      </c>
      <c r="Y98" s="11"/>
      <c r="Z98" s="107"/>
      <c r="AA98" s="78"/>
      <c r="AB98" s="76">
        <v>1.2</v>
      </c>
      <c r="AC98" s="11"/>
      <c r="AD98" s="88"/>
      <c r="AE98" s="78"/>
      <c r="AF98" s="317">
        <v>1.2</v>
      </c>
      <c r="AG98" s="318">
        <v>0</v>
      </c>
      <c r="AH98" s="310">
        <v>0</v>
      </c>
      <c r="AI98" s="311"/>
      <c r="AJ98" s="315">
        <v>1.3</v>
      </c>
      <c r="AK98" s="318">
        <v>0</v>
      </c>
      <c r="AL98" s="310">
        <v>0</v>
      </c>
      <c r="AM98" s="311"/>
      <c r="AN98" s="378">
        <v>1.2</v>
      </c>
      <c r="AO98" s="205"/>
      <c r="AP98" s="310"/>
      <c r="AQ98" s="311"/>
      <c r="AR98" s="315">
        <v>1.3</v>
      </c>
      <c r="AS98" s="205"/>
      <c r="AT98" s="310"/>
      <c r="AU98" s="311"/>
      <c r="AV98" s="22">
        <v>1.2</v>
      </c>
      <c r="AW98" s="11"/>
      <c r="AX98" s="88"/>
      <c r="AY98" s="78"/>
      <c r="AZ98" s="76">
        <v>2.2999999999999998</v>
      </c>
      <c r="BA98" s="11"/>
      <c r="BB98" s="88"/>
      <c r="BC98" s="78"/>
      <c r="BD98" s="279" t="s">
        <v>491</v>
      </c>
      <c r="BE98" t="str">
        <f t="shared" si="9"/>
        <v>HaileyArnoldWyoming LassSecondary &gt;9Prelim</v>
      </c>
    </row>
    <row r="99" spans="1:57">
      <c r="A99" s="3" t="s">
        <v>233</v>
      </c>
      <c r="B99" t="s">
        <v>191</v>
      </c>
      <c r="C99" s="219" t="s">
        <v>79</v>
      </c>
      <c r="D99" s="202" t="s">
        <v>234</v>
      </c>
      <c r="E99" s="5"/>
      <c r="F99" s="88">
        <f t="shared" si="8"/>
        <v>55</v>
      </c>
      <c r="G99" s="96">
        <f>SUM(K99,AA99)</f>
        <v>38</v>
      </c>
      <c r="H99" s="75">
        <v>1.1000000000000001</v>
      </c>
      <c r="I99" s="16">
        <v>61.2</v>
      </c>
      <c r="J99" s="107">
        <v>19</v>
      </c>
      <c r="K99" s="78">
        <v>19</v>
      </c>
      <c r="L99" s="75">
        <v>1.2</v>
      </c>
      <c r="M99" s="11"/>
      <c r="N99" s="88"/>
      <c r="O99" s="78"/>
      <c r="P99" s="19">
        <v>1.1000000000000001</v>
      </c>
      <c r="Q99" s="11"/>
      <c r="R99" s="88"/>
      <c r="S99" s="78"/>
      <c r="T99" s="19">
        <v>1.2</v>
      </c>
      <c r="U99" s="11"/>
      <c r="V99" s="88"/>
      <c r="W99" s="78"/>
      <c r="X99" s="75">
        <v>1.1000000000000001</v>
      </c>
      <c r="Y99" s="11">
        <v>64.599999999999994</v>
      </c>
      <c r="Z99" s="107">
        <v>19</v>
      </c>
      <c r="AA99" s="78">
        <v>19</v>
      </c>
      <c r="AB99" s="76">
        <v>1.2</v>
      </c>
      <c r="AC99" s="11">
        <v>64.820999999999998</v>
      </c>
      <c r="AD99" s="88">
        <v>17</v>
      </c>
      <c r="AE99" s="78">
        <v>17</v>
      </c>
      <c r="AF99" s="317">
        <v>1.2</v>
      </c>
      <c r="AG99" s="318">
        <v>0</v>
      </c>
      <c r="AH99" s="310">
        <v>0</v>
      </c>
      <c r="AI99" s="311"/>
      <c r="AJ99" s="315">
        <v>1.3</v>
      </c>
      <c r="AK99" s="318">
        <v>0</v>
      </c>
      <c r="AL99" s="310">
        <v>0</v>
      </c>
      <c r="AM99" s="311"/>
      <c r="AN99" s="378">
        <v>1.2</v>
      </c>
      <c r="AO99" s="205"/>
      <c r="AP99" s="310"/>
      <c r="AQ99" s="311"/>
      <c r="AR99" s="315">
        <v>1.3</v>
      </c>
      <c r="AS99" s="205"/>
      <c r="AT99" s="310"/>
      <c r="AU99" s="311"/>
      <c r="AV99" s="22">
        <v>1.2</v>
      </c>
      <c r="AW99" s="11"/>
      <c r="AX99" s="88"/>
      <c r="AY99" s="78"/>
      <c r="AZ99" s="76">
        <v>2.2999999999999998</v>
      </c>
      <c r="BA99" s="11"/>
      <c r="BB99" s="88"/>
      <c r="BC99" s="78"/>
      <c r="BD99" s="279" t="s">
        <v>491</v>
      </c>
      <c r="BE99" t="str">
        <f t="shared" si="9"/>
        <v>JakePriorSP RiverSecondary &gt;9Prelim</v>
      </c>
    </row>
    <row r="100" spans="1:57">
      <c r="A100" s="3" t="s">
        <v>240</v>
      </c>
      <c r="B100" s="3" t="s">
        <v>241</v>
      </c>
      <c r="C100" s="202" t="s">
        <v>242</v>
      </c>
      <c r="D100" s="202" t="s">
        <v>272</v>
      </c>
      <c r="E100" s="5"/>
      <c r="F100" s="88">
        <f t="shared" si="8"/>
        <v>19</v>
      </c>
      <c r="G100" s="96"/>
      <c r="H100" s="75">
        <v>1.1000000000000001</v>
      </c>
      <c r="I100" s="16"/>
      <c r="J100" s="107"/>
      <c r="K100" s="78"/>
      <c r="L100" s="75">
        <v>1.2</v>
      </c>
      <c r="M100" s="11">
        <v>60.356999999999999</v>
      </c>
      <c r="N100" s="88">
        <v>19</v>
      </c>
      <c r="O100" s="78">
        <v>19</v>
      </c>
      <c r="P100" s="19">
        <v>1.1000000000000001</v>
      </c>
      <c r="Q100" s="11"/>
      <c r="R100" s="88"/>
      <c r="S100" s="78"/>
      <c r="T100" s="19">
        <v>1.2</v>
      </c>
      <c r="U100" s="11"/>
      <c r="V100" s="88"/>
      <c r="W100" s="78"/>
      <c r="X100" s="75">
        <v>1.1000000000000001</v>
      </c>
      <c r="Y100" s="11"/>
      <c r="Z100" s="107"/>
      <c r="AA100" s="78"/>
      <c r="AB100" s="76">
        <v>1.2</v>
      </c>
      <c r="AC100" s="11"/>
      <c r="AD100" s="88"/>
      <c r="AE100" s="78"/>
      <c r="AF100" s="317">
        <v>1.2</v>
      </c>
      <c r="AG100" s="318">
        <v>0</v>
      </c>
      <c r="AH100" s="310">
        <v>0</v>
      </c>
      <c r="AI100" s="311"/>
      <c r="AJ100" s="315">
        <v>1.3</v>
      </c>
      <c r="AK100" s="318">
        <v>0</v>
      </c>
      <c r="AL100" s="310">
        <v>0</v>
      </c>
      <c r="AM100" s="311"/>
      <c r="AN100" s="378">
        <v>1.2</v>
      </c>
      <c r="AO100" s="205"/>
      <c r="AP100" s="310"/>
      <c r="AQ100" s="311"/>
      <c r="AR100" s="315">
        <v>1.3</v>
      </c>
      <c r="AS100" s="205"/>
      <c r="AT100" s="310"/>
      <c r="AU100" s="311"/>
      <c r="AV100" s="22">
        <v>1.2</v>
      </c>
      <c r="AW100" s="11"/>
      <c r="AX100" s="88"/>
      <c r="AY100" s="78"/>
      <c r="AZ100" s="76">
        <v>2.2999999999999998</v>
      </c>
      <c r="BA100" s="11"/>
      <c r="BB100" s="88"/>
      <c r="BC100" s="78"/>
      <c r="BD100" s="279" t="s">
        <v>491</v>
      </c>
      <c r="BE100" t="str">
        <f t="shared" si="9"/>
        <v>LilyCollinsJaponicum HitSecondary &gt;9Prelim</v>
      </c>
    </row>
    <row r="101" spans="1:57">
      <c r="A101" s="3" t="s">
        <v>240</v>
      </c>
      <c r="B101" s="3" t="s">
        <v>241</v>
      </c>
      <c r="C101" s="202" t="s">
        <v>242</v>
      </c>
      <c r="D101" s="202" t="s">
        <v>243</v>
      </c>
      <c r="E101" s="5"/>
      <c r="F101" s="88">
        <f t="shared" si="8"/>
        <v>20</v>
      </c>
      <c r="G101" s="96"/>
      <c r="H101" s="75">
        <v>1.1000000000000001</v>
      </c>
      <c r="I101" s="16">
        <v>65.599999999999994</v>
      </c>
      <c r="J101" s="107">
        <v>20</v>
      </c>
      <c r="K101" s="78">
        <v>20</v>
      </c>
      <c r="L101" s="75">
        <v>1.2</v>
      </c>
      <c r="M101" s="11"/>
      <c r="N101" s="88"/>
      <c r="O101" s="78"/>
      <c r="P101" s="19">
        <v>1.1000000000000001</v>
      </c>
      <c r="Q101" s="11"/>
      <c r="R101" s="88"/>
      <c r="S101" s="78"/>
      <c r="T101" s="19">
        <v>1.2</v>
      </c>
      <c r="U101" s="11"/>
      <c r="V101" s="88"/>
      <c r="W101" s="78"/>
      <c r="X101" s="75">
        <v>1.1000000000000001</v>
      </c>
      <c r="Y101" s="11"/>
      <c r="Z101" s="107"/>
      <c r="AA101" s="78"/>
      <c r="AB101" s="76">
        <v>1.2</v>
      </c>
      <c r="AC101" s="11"/>
      <c r="AD101" s="88"/>
      <c r="AE101" s="78"/>
      <c r="AF101" s="317">
        <v>1.2</v>
      </c>
      <c r="AG101" s="318">
        <v>0</v>
      </c>
      <c r="AH101" s="310">
        <v>0</v>
      </c>
      <c r="AI101" s="311"/>
      <c r="AJ101" s="315">
        <v>1.3</v>
      </c>
      <c r="AK101" s="318">
        <v>0</v>
      </c>
      <c r="AL101" s="310">
        <v>0</v>
      </c>
      <c r="AM101" s="311"/>
      <c r="AN101" s="378">
        <v>1.2</v>
      </c>
      <c r="AO101" s="205"/>
      <c r="AP101" s="310"/>
      <c r="AQ101" s="311"/>
      <c r="AR101" s="315">
        <v>1.3</v>
      </c>
      <c r="AS101" s="205"/>
      <c r="AT101" s="310"/>
      <c r="AU101" s="311"/>
      <c r="AV101" s="22">
        <v>1.2</v>
      </c>
      <c r="AW101" s="11"/>
      <c r="AX101" s="88"/>
      <c r="AY101" s="78"/>
      <c r="AZ101" s="76">
        <v>2.2999999999999998</v>
      </c>
      <c r="BA101" s="11"/>
      <c r="BB101" s="88"/>
      <c r="BC101" s="78"/>
      <c r="BD101" s="279" t="s">
        <v>491</v>
      </c>
      <c r="BE101" t="str">
        <f t="shared" si="9"/>
        <v>LilyCollinsWYANN TASMANSecondary &gt;9Prelim</v>
      </c>
    </row>
    <row r="102" spans="1:57">
      <c r="A102" s="3" t="s">
        <v>235</v>
      </c>
      <c r="B102" t="s">
        <v>236</v>
      </c>
      <c r="C102" s="202" t="s">
        <v>63</v>
      </c>
      <c r="D102" s="202" t="s">
        <v>361</v>
      </c>
      <c r="E102" s="5"/>
      <c r="F102" s="88">
        <f t="shared" si="8"/>
        <v>21</v>
      </c>
      <c r="G102" s="96"/>
      <c r="H102" s="75">
        <v>1.1000000000000001</v>
      </c>
      <c r="I102" s="16"/>
      <c r="J102" s="107"/>
      <c r="K102" s="78"/>
      <c r="L102" s="75">
        <v>1.2</v>
      </c>
      <c r="M102" s="11"/>
      <c r="N102" s="88"/>
      <c r="O102" s="78"/>
      <c r="P102" s="19">
        <v>1.1000000000000001</v>
      </c>
      <c r="Q102" s="11"/>
      <c r="R102" s="88"/>
      <c r="S102" s="78"/>
      <c r="T102" s="19">
        <v>1.2</v>
      </c>
      <c r="U102" s="11"/>
      <c r="V102" s="88"/>
      <c r="W102" s="78"/>
      <c r="X102" s="75">
        <v>1.1000000000000001</v>
      </c>
      <c r="Y102" s="11"/>
      <c r="Z102" s="107"/>
      <c r="AA102" s="78"/>
      <c r="AB102" s="76">
        <v>1.2</v>
      </c>
      <c r="AC102" s="11"/>
      <c r="AD102" s="88"/>
      <c r="AE102" s="78"/>
      <c r="AF102" s="317">
        <v>1.2</v>
      </c>
      <c r="AG102" s="318">
        <v>0.6411</v>
      </c>
      <c r="AH102" s="310">
        <v>21</v>
      </c>
      <c r="AI102" s="311">
        <v>16</v>
      </c>
      <c r="AJ102" s="315">
        <v>1.3</v>
      </c>
      <c r="AK102" s="318">
        <v>0</v>
      </c>
      <c r="AL102" s="310">
        <v>0</v>
      </c>
      <c r="AM102" s="311"/>
      <c r="AN102" s="378">
        <v>1.2</v>
      </c>
      <c r="AO102" s="205"/>
      <c r="AP102" s="310"/>
      <c r="AQ102" s="311"/>
      <c r="AR102" s="315">
        <v>1.3</v>
      </c>
      <c r="AS102" s="205"/>
      <c r="AT102" s="310"/>
      <c r="AU102" s="311"/>
      <c r="AV102" s="22">
        <v>1.2</v>
      </c>
      <c r="AW102" s="11"/>
      <c r="AX102" s="88"/>
      <c r="AY102" s="78"/>
      <c r="AZ102" s="76">
        <v>2.2999999999999998</v>
      </c>
      <c r="BA102" s="11"/>
      <c r="BB102" s="88"/>
      <c r="BC102" s="78"/>
      <c r="BD102" s="279" t="s">
        <v>491</v>
      </c>
      <c r="BE102" t="str">
        <f t="shared" si="9"/>
        <v>LucindaHoppeDalpura AlitaSecondary &gt;9Prelim</v>
      </c>
    </row>
    <row r="103" spans="1:57">
      <c r="A103" s="202" t="s">
        <v>125</v>
      </c>
      <c r="B103" s="202" t="s">
        <v>126</v>
      </c>
      <c r="C103" s="202" t="s">
        <v>127</v>
      </c>
      <c r="D103" s="202" t="s">
        <v>128</v>
      </c>
      <c r="E103" s="5"/>
      <c r="F103" s="88">
        <f t="shared" si="8"/>
        <v>0</v>
      </c>
      <c r="G103" s="96"/>
      <c r="H103" s="75">
        <v>1.1000000000000001</v>
      </c>
      <c r="I103" s="16"/>
      <c r="J103" s="107"/>
      <c r="K103" s="78"/>
      <c r="L103" s="75">
        <v>1.2</v>
      </c>
      <c r="M103" s="11"/>
      <c r="N103" s="88"/>
      <c r="O103" s="78"/>
      <c r="P103" s="19">
        <v>1.1000000000000001</v>
      </c>
      <c r="Q103" s="11"/>
      <c r="R103" s="88"/>
      <c r="S103" s="78"/>
      <c r="T103" s="19">
        <v>1.2</v>
      </c>
      <c r="U103" s="11"/>
      <c r="V103" s="88"/>
      <c r="W103" s="78"/>
      <c r="X103" s="75">
        <v>1.1000000000000001</v>
      </c>
      <c r="Y103" s="11"/>
      <c r="Z103" s="107"/>
      <c r="AA103" s="78"/>
      <c r="AB103" s="76">
        <v>1.2</v>
      </c>
      <c r="AC103" s="11"/>
      <c r="AD103" s="88"/>
      <c r="AE103" s="78"/>
      <c r="AF103" s="317">
        <v>1.2</v>
      </c>
      <c r="AG103" s="318">
        <v>0</v>
      </c>
      <c r="AH103" s="310">
        <v>0</v>
      </c>
      <c r="AI103" s="311"/>
      <c r="AJ103" s="315">
        <v>1.3</v>
      </c>
      <c r="AK103" s="318">
        <v>0</v>
      </c>
      <c r="AL103" s="310">
        <v>0</v>
      </c>
      <c r="AM103" s="311"/>
      <c r="AN103" s="378">
        <v>1.2</v>
      </c>
      <c r="AO103" s="205"/>
      <c r="AP103" s="310"/>
      <c r="AQ103" s="311"/>
      <c r="AR103" s="315">
        <v>1.3</v>
      </c>
      <c r="AS103" s="205"/>
      <c r="AT103" s="310"/>
      <c r="AU103" s="311"/>
      <c r="AV103" s="22">
        <v>1.2</v>
      </c>
      <c r="AW103" s="11"/>
      <c r="AX103" s="88"/>
      <c r="AY103" s="78"/>
      <c r="AZ103" s="76">
        <v>2.2999999999999998</v>
      </c>
      <c r="BA103" s="11"/>
      <c r="BB103" s="88"/>
      <c r="BC103" s="78"/>
      <c r="BD103" s="279" t="s">
        <v>491</v>
      </c>
      <c r="BE103" t="str">
        <f t="shared" si="9"/>
        <v>KeelyHutchinsonExmoor Celtic SnowSecondary &gt;9Prelim</v>
      </c>
    </row>
    <row r="104" spans="1:57">
      <c r="A104" s="219" t="s">
        <v>247</v>
      </c>
      <c r="B104" s="219" t="s">
        <v>248</v>
      </c>
      <c r="C104" s="202" t="s">
        <v>199</v>
      </c>
      <c r="D104" s="219" t="s">
        <v>249</v>
      </c>
      <c r="E104" s="5"/>
      <c r="F104" s="88">
        <f t="shared" si="8"/>
        <v>80</v>
      </c>
      <c r="G104" s="96">
        <f>SUM(AA104,AQ104)</f>
        <v>40</v>
      </c>
      <c r="H104" s="75">
        <v>1.1000000000000001</v>
      </c>
      <c r="I104" s="16"/>
      <c r="J104" s="107"/>
      <c r="K104" s="78"/>
      <c r="L104" s="75">
        <v>1.2</v>
      </c>
      <c r="M104" s="11"/>
      <c r="N104" s="88"/>
      <c r="O104" s="78"/>
      <c r="P104" s="19">
        <v>1.1000000000000001</v>
      </c>
      <c r="Q104" s="11"/>
      <c r="R104" s="88"/>
      <c r="S104" s="78"/>
      <c r="T104" s="19">
        <v>1.2</v>
      </c>
      <c r="U104" s="11"/>
      <c r="V104" s="88"/>
      <c r="W104" s="78"/>
      <c r="X104" s="75">
        <v>1.1000000000000001</v>
      </c>
      <c r="Y104" s="11">
        <v>69</v>
      </c>
      <c r="Z104" s="107">
        <v>20</v>
      </c>
      <c r="AA104" s="78">
        <v>20</v>
      </c>
      <c r="AB104" s="76">
        <v>1.2</v>
      </c>
      <c r="AC104" s="11">
        <v>74.106999999999999</v>
      </c>
      <c r="AD104" s="88">
        <v>20</v>
      </c>
      <c r="AE104" s="78">
        <v>20</v>
      </c>
      <c r="AF104" s="317">
        <v>1.2</v>
      </c>
      <c r="AG104" s="318">
        <v>0</v>
      </c>
      <c r="AH104" s="310">
        <v>0</v>
      </c>
      <c r="AI104" s="311"/>
      <c r="AJ104" s="315">
        <v>1.3</v>
      </c>
      <c r="AK104" s="318">
        <v>0</v>
      </c>
      <c r="AL104" s="310">
        <v>0</v>
      </c>
      <c r="AM104" s="311"/>
      <c r="AN104" s="378">
        <v>1.2</v>
      </c>
      <c r="AO104" s="312">
        <v>70.709999999999994</v>
      </c>
      <c r="AP104" s="310">
        <v>20</v>
      </c>
      <c r="AQ104" s="313">
        <v>20</v>
      </c>
      <c r="AR104" s="315">
        <v>1.3</v>
      </c>
      <c r="AS104" s="205">
        <v>75.459999999999994</v>
      </c>
      <c r="AT104" s="310">
        <v>20</v>
      </c>
      <c r="AU104" s="311">
        <v>20</v>
      </c>
      <c r="AV104" s="22">
        <v>1.2</v>
      </c>
      <c r="AW104" s="11"/>
      <c r="AX104" s="88"/>
      <c r="AY104" s="78"/>
      <c r="AZ104" s="76">
        <v>2.2999999999999998</v>
      </c>
      <c r="BA104" s="11"/>
      <c r="BB104" s="88"/>
      <c r="BC104" s="78"/>
      <c r="BD104" s="279" t="s">
        <v>491</v>
      </c>
      <c r="BE104" t="str">
        <f t="shared" si="9"/>
        <v>Sophie OprayCherrywood Park BonanzaSecondary &gt;9Prelim</v>
      </c>
    </row>
    <row r="105" spans="1:57">
      <c r="A105" s="232" t="s">
        <v>472</v>
      </c>
      <c r="B105" s="232" t="s">
        <v>473</v>
      </c>
      <c r="C105" s="212" t="s">
        <v>474</v>
      </c>
      <c r="D105" s="212" t="s">
        <v>475</v>
      </c>
      <c r="E105" s="5"/>
      <c r="F105" s="88">
        <f t="shared" si="8"/>
        <v>45</v>
      </c>
      <c r="G105" s="96"/>
      <c r="H105" s="75">
        <v>1.1000000000000001</v>
      </c>
      <c r="I105" s="16"/>
      <c r="J105" s="107"/>
      <c r="K105" s="78"/>
      <c r="L105" s="75">
        <v>1.2</v>
      </c>
      <c r="M105" s="11"/>
      <c r="N105" s="88"/>
      <c r="O105" s="78"/>
      <c r="P105" s="19">
        <v>1.1000000000000001</v>
      </c>
      <c r="Q105" s="11"/>
      <c r="R105" s="88"/>
      <c r="S105" s="78"/>
      <c r="T105" s="19">
        <v>1.2</v>
      </c>
      <c r="U105" s="11"/>
      <c r="V105" s="88"/>
      <c r="W105" s="78"/>
      <c r="X105" s="75">
        <v>1.1000000000000001</v>
      </c>
      <c r="Y105" s="11"/>
      <c r="Z105" s="107"/>
      <c r="AA105" s="78"/>
      <c r="AB105" s="76">
        <v>1.2</v>
      </c>
      <c r="AC105" s="11"/>
      <c r="AD105" s="88"/>
      <c r="AE105" s="78"/>
      <c r="AF105" s="317">
        <v>1.2</v>
      </c>
      <c r="AG105" s="318">
        <v>0.67767857142857146</v>
      </c>
      <c r="AH105" s="310">
        <v>23</v>
      </c>
      <c r="AI105" s="311">
        <v>18</v>
      </c>
      <c r="AJ105" s="315">
        <v>1.3</v>
      </c>
      <c r="AK105" s="318">
        <v>0.66559999999999997</v>
      </c>
      <c r="AL105" s="310">
        <v>22</v>
      </c>
      <c r="AM105" s="311">
        <v>17</v>
      </c>
      <c r="AN105" s="378">
        <v>1.2</v>
      </c>
      <c r="AO105" s="205"/>
      <c r="AP105" s="310"/>
      <c r="AQ105" s="311"/>
      <c r="AR105" s="315">
        <v>1.3</v>
      </c>
      <c r="AS105" s="205"/>
      <c r="AT105" s="310"/>
      <c r="AU105" s="311"/>
      <c r="AV105" s="22">
        <v>1.2</v>
      </c>
      <c r="AW105" s="11"/>
      <c r="AX105" s="88"/>
      <c r="AY105" s="78"/>
      <c r="AZ105" s="76">
        <v>2.2999999999999998</v>
      </c>
      <c r="BA105" s="11"/>
      <c r="BB105" s="88"/>
      <c r="BC105" s="78"/>
      <c r="BD105" s="279" t="s">
        <v>491</v>
      </c>
      <c r="BE105" t="str">
        <f t="shared" si="9"/>
        <v>MiaOzolinsSierra Farm SerendipitySecondary &gt;9Prelim</v>
      </c>
    </row>
    <row r="106" spans="1:57">
      <c r="A106" s="3" t="s">
        <v>139</v>
      </c>
      <c r="B106" t="s">
        <v>140</v>
      </c>
      <c r="C106" s="202" t="s">
        <v>63</v>
      </c>
      <c r="D106" s="202" t="s">
        <v>244</v>
      </c>
      <c r="E106" s="5"/>
      <c r="F106" s="88">
        <f t="shared" si="8"/>
        <v>69</v>
      </c>
      <c r="G106" s="96"/>
      <c r="H106" s="75">
        <v>1.1000000000000001</v>
      </c>
      <c r="I106" s="16"/>
      <c r="J106" s="107"/>
      <c r="K106" s="78"/>
      <c r="L106" s="75">
        <v>1.2</v>
      </c>
      <c r="M106" s="11"/>
      <c r="N106" s="88"/>
      <c r="O106" s="78"/>
      <c r="P106" s="19">
        <v>1.1000000000000001</v>
      </c>
      <c r="Q106" s="11"/>
      <c r="R106" s="88"/>
      <c r="S106" s="78"/>
      <c r="T106" s="19">
        <v>1.2</v>
      </c>
      <c r="U106" s="11"/>
      <c r="V106" s="88"/>
      <c r="W106" s="78"/>
      <c r="X106" s="75">
        <v>1.1000000000000001</v>
      </c>
      <c r="Y106" s="11"/>
      <c r="Z106" s="107"/>
      <c r="AA106" s="78"/>
      <c r="AB106" s="76">
        <v>1.2</v>
      </c>
      <c r="AC106" s="11">
        <v>69.463999999999999</v>
      </c>
      <c r="AD106" s="88">
        <v>19</v>
      </c>
      <c r="AE106" s="78">
        <v>19</v>
      </c>
      <c r="AF106" s="317">
        <v>1.2</v>
      </c>
      <c r="AG106" s="321">
        <v>0.71964285714285714</v>
      </c>
      <c r="AH106" s="310">
        <v>25</v>
      </c>
      <c r="AI106" s="311">
        <v>20</v>
      </c>
      <c r="AJ106" s="315">
        <v>1.3</v>
      </c>
      <c r="AK106" s="318">
        <v>0.73019999999999996</v>
      </c>
      <c r="AL106" s="310">
        <v>25</v>
      </c>
      <c r="AM106" s="311">
        <v>20</v>
      </c>
      <c r="AN106" s="378">
        <v>1.2</v>
      </c>
      <c r="AO106" s="205"/>
      <c r="AP106" s="310"/>
      <c r="AQ106" s="311"/>
      <c r="AR106" s="315">
        <v>1.3</v>
      </c>
      <c r="AS106" s="205"/>
      <c r="AT106" s="310"/>
      <c r="AU106" s="311"/>
      <c r="AV106" s="22">
        <v>1.2</v>
      </c>
      <c r="AW106" s="11"/>
      <c r="AX106" s="88"/>
      <c r="AY106" s="78"/>
      <c r="AZ106" s="76">
        <v>2.2999999999999998</v>
      </c>
      <c r="BA106" s="11"/>
      <c r="BB106" s="88"/>
      <c r="BC106" s="78"/>
    </row>
    <row r="107" spans="1:57">
      <c r="A107" s="2"/>
      <c r="B107" s="2"/>
      <c r="C107" s="2"/>
      <c r="D107" s="2"/>
      <c r="E107" s="5"/>
      <c r="F107" s="88">
        <f t="shared" si="8"/>
        <v>0</v>
      </c>
      <c r="G107" s="96"/>
      <c r="H107" s="75">
        <v>1.1000000000000001</v>
      </c>
      <c r="I107" s="16"/>
      <c r="J107" s="107"/>
      <c r="K107" s="78"/>
      <c r="L107" s="75">
        <v>1.2</v>
      </c>
      <c r="M107" s="11"/>
      <c r="N107" s="88"/>
      <c r="O107" s="162"/>
      <c r="P107" s="19">
        <v>1.1000000000000001</v>
      </c>
      <c r="Q107" s="11"/>
      <c r="R107" s="88"/>
      <c r="S107" s="78"/>
      <c r="T107" s="19">
        <v>1.2</v>
      </c>
      <c r="U107" s="11"/>
      <c r="V107" s="88"/>
      <c r="W107" s="78"/>
      <c r="X107" s="75">
        <v>1.1000000000000001</v>
      </c>
      <c r="Y107" s="11"/>
      <c r="Z107" s="107"/>
      <c r="AA107" s="78"/>
      <c r="AB107" s="76">
        <v>1.2</v>
      </c>
      <c r="AC107" s="11"/>
      <c r="AD107" s="88"/>
      <c r="AE107" s="162"/>
      <c r="AF107" s="317">
        <v>1.2</v>
      </c>
      <c r="AG107" s="318" t="s">
        <v>509</v>
      </c>
      <c r="AH107" s="310">
        <v>0</v>
      </c>
      <c r="AI107" s="311"/>
      <c r="AJ107" s="315">
        <v>1.3</v>
      </c>
      <c r="AK107" s="318">
        <v>0</v>
      </c>
      <c r="AL107" s="310">
        <v>0</v>
      </c>
      <c r="AM107" s="311"/>
      <c r="AN107" s="378">
        <v>1.2</v>
      </c>
      <c r="AO107" s="205"/>
      <c r="AP107" s="310"/>
      <c r="AQ107" s="311"/>
      <c r="AR107" s="315">
        <v>1.3</v>
      </c>
      <c r="AS107" s="205"/>
      <c r="AT107" s="310"/>
      <c r="AU107" s="311"/>
      <c r="AV107" s="22">
        <v>1.2</v>
      </c>
      <c r="AW107" s="11"/>
      <c r="AX107" s="88"/>
      <c r="AY107" s="78"/>
      <c r="AZ107" s="76">
        <v>2.2999999999999998</v>
      </c>
      <c r="BA107" s="11"/>
      <c r="BB107" s="88"/>
      <c r="BC107" s="78"/>
    </row>
    <row r="108" spans="1:57" ht="16.5" thickBot="1">
      <c r="A108" s="2"/>
      <c r="B108" s="2"/>
      <c r="C108" s="2"/>
      <c r="D108" s="2"/>
      <c r="E108" s="5"/>
      <c r="F108" s="344">
        <f t="shared" si="8"/>
        <v>0</v>
      </c>
      <c r="G108" s="376"/>
      <c r="H108" s="367">
        <v>1.1000000000000001</v>
      </c>
      <c r="I108" s="18"/>
      <c r="J108" s="108"/>
      <c r="K108" s="86"/>
      <c r="L108" s="75">
        <v>1.2</v>
      </c>
      <c r="M108" s="11"/>
      <c r="N108" s="90"/>
      <c r="O108" s="86"/>
      <c r="P108" s="19">
        <v>1.1000000000000001</v>
      </c>
      <c r="Q108" s="11"/>
      <c r="R108" s="90"/>
      <c r="S108" s="86"/>
      <c r="T108" s="19">
        <v>1.2</v>
      </c>
      <c r="U108" s="11"/>
      <c r="V108" s="90"/>
      <c r="W108" s="86"/>
      <c r="X108" s="75">
        <v>1.1000000000000001</v>
      </c>
      <c r="Y108" s="11"/>
      <c r="Z108" s="108"/>
      <c r="AA108" s="86"/>
      <c r="AB108" s="76">
        <v>1.2</v>
      </c>
      <c r="AC108" s="11"/>
      <c r="AD108" s="90"/>
      <c r="AE108" s="86"/>
      <c r="AF108" s="317">
        <v>1.2</v>
      </c>
      <c r="AG108" s="318" t="s">
        <v>509</v>
      </c>
      <c r="AH108" s="310">
        <v>0</v>
      </c>
      <c r="AI108" s="319"/>
      <c r="AJ108" s="315">
        <v>1.3</v>
      </c>
      <c r="AK108" s="318">
        <v>0</v>
      </c>
      <c r="AL108" s="310">
        <v>0</v>
      </c>
      <c r="AM108" s="319"/>
      <c r="AN108" s="378">
        <v>1.2</v>
      </c>
      <c r="AO108" s="205"/>
      <c r="AP108" s="314"/>
      <c r="AQ108" s="319"/>
      <c r="AR108" s="315">
        <v>1.3</v>
      </c>
      <c r="AS108" s="205"/>
      <c r="AT108" s="314"/>
      <c r="AU108" s="319"/>
      <c r="AV108" s="22">
        <v>1.2</v>
      </c>
      <c r="AW108" s="11"/>
      <c r="AX108" s="90"/>
      <c r="AY108" s="86"/>
      <c r="AZ108" s="76">
        <v>2.2999999999999998</v>
      </c>
      <c r="BA108" s="11"/>
      <c r="BB108" s="90"/>
      <c r="BC108" s="86"/>
    </row>
    <row r="110" spans="1:57" ht="16.5" thickBot="1">
      <c r="A110" s="7"/>
      <c r="B110" s="7"/>
      <c r="C110" s="7"/>
      <c r="D110" s="73"/>
      <c r="E110" s="73"/>
      <c r="AF110" s="9"/>
      <c r="AN110" s="9"/>
      <c r="AV110" s="9"/>
    </row>
    <row r="111" spans="1:57" ht="24" thickBot="1">
      <c r="H111" s="418" t="s">
        <v>290</v>
      </c>
      <c r="I111" s="441"/>
      <c r="J111" s="441"/>
      <c r="K111" s="463"/>
      <c r="L111" s="463"/>
      <c r="M111" s="463"/>
      <c r="N111" s="463"/>
      <c r="O111" s="412"/>
      <c r="P111" s="390" t="s">
        <v>329</v>
      </c>
      <c r="Q111" s="391"/>
      <c r="R111" s="391"/>
      <c r="S111" s="391"/>
      <c r="T111" s="391"/>
      <c r="U111" s="391"/>
      <c r="V111" s="452"/>
      <c r="W111" s="453"/>
      <c r="X111" s="435" t="s">
        <v>512</v>
      </c>
      <c r="Y111" s="454"/>
      <c r="Z111" s="454"/>
      <c r="AA111" s="444"/>
      <c r="AB111" s="444"/>
      <c r="AC111" s="444"/>
      <c r="AD111" s="444"/>
      <c r="AE111" s="445"/>
      <c r="AF111" s="410" t="s">
        <v>330</v>
      </c>
      <c r="AG111" s="411"/>
      <c r="AH111" s="411"/>
      <c r="AI111" s="446"/>
      <c r="AJ111" s="446"/>
      <c r="AK111" s="446"/>
      <c r="AL111" s="446"/>
      <c r="AM111" s="447"/>
      <c r="AN111" s="455" t="s">
        <v>293</v>
      </c>
      <c r="AO111" s="456"/>
      <c r="AP111" s="456"/>
      <c r="AQ111" s="457"/>
      <c r="AR111" s="457"/>
      <c r="AS111" s="457"/>
      <c r="AT111" s="457"/>
      <c r="AU111" s="458"/>
      <c r="AV111" s="455" t="s">
        <v>331</v>
      </c>
      <c r="AW111" s="456"/>
      <c r="AX111" s="456"/>
      <c r="AY111" s="457"/>
      <c r="AZ111" s="457"/>
      <c r="BA111" s="457"/>
      <c r="BB111" s="457"/>
      <c r="BC111" s="458"/>
    </row>
    <row r="112" spans="1:57" ht="47.25">
      <c r="A112" s="416" t="s">
        <v>362</v>
      </c>
      <c r="B112" s="409"/>
      <c r="C112" s="409"/>
      <c r="D112" s="409"/>
      <c r="E112" s="409"/>
      <c r="F112" s="117" t="s">
        <v>9</v>
      </c>
      <c r="G112" s="51" t="s">
        <v>10</v>
      </c>
      <c r="H112" s="59" t="s">
        <v>333</v>
      </c>
      <c r="I112" s="56" t="s">
        <v>334</v>
      </c>
      <c r="J112" s="92" t="s">
        <v>15</v>
      </c>
      <c r="K112" s="51" t="s">
        <v>16</v>
      </c>
      <c r="L112" s="59" t="s">
        <v>333</v>
      </c>
      <c r="M112" s="56" t="s">
        <v>334</v>
      </c>
      <c r="N112" s="97" t="s">
        <v>15</v>
      </c>
      <c r="O112" s="51" t="s">
        <v>16</v>
      </c>
      <c r="P112" s="59" t="s">
        <v>333</v>
      </c>
      <c r="Q112" s="56" t="s">
        <v>334</v>
      </c>
      <c r="R112" s="97" t="s">
        <v>15</v>
      </c>
      <c r="S112" s="51" t="s">
        <v>16</v>
      </c>
      <c r="T112" s="59" t="s">
        <v>333</v>
      </c>
      <c r="U112" s="56" t="s">
        <v>334</v>
      </c>
      <c r="V112" s="97" t="s">
        <v>15</v>
      </c>
      <c r="W112" s="51" t="s">
        <v>16</v>
      </c>
      <c r="X112" s="47" t="s">
        <v>333</v>
      </c>
      <c r="Y112" s="53" t="s">
        <v>334</v>
      </c>
      <c r="Z112" s="92" t="s">
        <v>15</v>
      </c>
      <c r="AA112" s="65" t="s">
        <v>16</v>
      </c>
      <c r="AB112" s="59" t="s">
        <v>333</v>
      </c>
      <c r="AC112" s="56" t="s">
        <v>334</v>
      </c>
      <c r="AD112" s="97" t="s">
        <v>15</v>
      </c>
      <c r="AE112" s="51" t="s">
        <v>16</v>
      </c>
      <c r="AF112" s="59" t="s">
        <v>333</v>
      </c>
      <c r="AG112" s="326" t="s">
        <v>334</v>
      </c>
      <c r="AH112" s="97" t="s">
        <v>15</v>
      </c>
      <c r="AI112" s="51" t="s">
        <v>16</v>
      </c>
      <c r="AJ112" s="59" t="s">
        <v>333</v>
      </c>
      <c r="AK112" s="326" t="s">
        <v>334</v>
      </c>
      <c r="AL112" s="97" t="s">
        <v>15</v>
      </c>
      <c r="AM112" s="51" t="s">
        <v>16</v>
      </c>
      <c r="AN112" s="59" t="s">
        <v>333</v>
      </c>
      <c r="AO112" s="56" t="s">
        <v>334</v>
      </c>
      <c r="AP112" s="97" t="s">
        <v>15</v>
      </c>
      <c r="AQ112" s="51" t="s">
        <v>16</v>
      </c>
      <c r="AR112" s="59" t="s">
        <v>333</v>
      </c>
      <c r="AS112" s="56" t="s">
        <v>334</v>
      </c>
      <c r="AT112" s="97" t="s">
        <v>15</v>
      </c>
      <c r="AU112" s="51" t="s">
        <v>16</v>
      </c>
      <c r="AV112" s="59" t="s">
        <v>333</v>
      </c>
      <c r="AW112" s="56" t="s">
        <v>334</v>
      </c>
      <c r="AX112" s="97" t="s">
        <v>15</v>
      </c>
      <c r="AY112" s="51" t="s">
        <v>16</v>
      </c>
      <c r="AZ112" s="59" t="s">
        <v>333</v>
      </c>
      <c r="BA112" s="56" t="s">
        <v>334</v>
      </c>
      <c r="BB112" s="97" t="s">
        <v>15</v>
      </c>
      <c r="BC112" s="51" t="s">
        <v>16</v>
      </c>
      <c r="BD112" t="s">
        <v>508</v>
      </c>
    </row>
    <row r="113" spans="1:57" s="45" customFormat="1">
      <c r="A113" s="1" t="s">
        <v>22</v>
      </c>
      <c r="B113" s="1" t="s">
        <v>23</v>
      </c>
      <c r="C113" s="1" t="s">
        <v>24</v>
      </c>
      <c r="D113" s="1" t="s">
        <v>25</v>
      </c>
      <c r="E113" s="4" t="s">
        <v>26</v>
      </c>
      <c r="F113" s="89">
        <f t="shared" ref="F113:F124" si="10">J113+N113+R113+V113+Z113+AD113+AH113+AL113+AP113+AT113</f>
        <v>0</v>
      </c>
      <c r="G113" s="85"/>
      <c r="H113" s="76"/>
      <c r="I113" s="11"/>
      <c r="J113" s="107"/>
      <c r="K113" s="78"/>
      <c r="L113" s="76"/>
      <c r="M113" s="11"/>
      <c r="N113" s="88"/>
      <c r="O113" s="78"/>
      <c r="P113" s="19"/>
      <c r="Q113" s="11"/>
      <c r="R113" s="88"/>
      <c r="S113" s="78"/>
      <c r="T113" s="19"/>
      <c r="U113" s="11"/>
      <c r="V113" s="88"/>
      <c r="W113" s="78"/>
      <c r="X113" s="76"/>
      <c r="Y113" s="11"/>
      <c r="Z113" s="107"/>
      <c r="AA113" s="98"/>
      <c r="AB113" s="76"/>
      <c r="AC113" s="11"/>
      <c r="AD113" s="88"/>
      <c r="AE113" s="78"/>
      <c r="AF113" s="76"/>
      <c r="AG113" s="323"/>
      <c r="AH113" s="88"/>
      <c r="AI113" s="78"/>
      <c r="AJ113" s="76"/>
      <c r="AK113" s="323"/>
      <c r="AL113" s="88"/>
      <c r="AM113" s="78"/>
      <c r="AN113" s="76"/>
      <c r="AO113" s="11"/>
      <c r="AP113" s="88"/>
      <c r="AQ113" s="78"/>
      <c r="AR113" s="76"/>
      <c r="AS113" s="11"/>
      <c r="AT113" s="88"/>
      <c r="AU113" s="78"/>
      <c r="AV113" s="76"/>
      <c r="AW113" s="11"/>
      <c r="AX113" s="88"/>
      <c r="AY113" s="78"/>
      <c r="AZ113" s="76"/>
      <c r="BA113" s="11"/>
      <c r="BB113" s="88"/>
      <c r="BC113" s="78"/>
    </row>
    <row r="114" spans="1:57">
      <c r="A114" s="3" t="s">
        <v>129</v>
      </c>
      <c r="B114" s="3" t="s">
        <v>130</v>
      </c>
      <c r="C114" s="202" t="s">
        <v>63</v>
      </c>
      <c r="D114" s="202" t="s">
        <v>131</v>
      </c>
      <c r="E114" s="205">
        <v>11</v>
      </c>
      <c r="F114" s="88">
        <f t="shared" si="10"/>
        <v>18</v>
      </c>
      <c r="G114" s="78"/>
      <c r="H114" s="76">
        <v>2.1</v>
      </c>
      <c r="I114" s="11"/>
      <c r="J114" s="107"/>
      <c r="K114" s="78"/>
      <c r="L114" s="76">
        <v>2.2000000000000002</v>
      </c>
      <c r="M114" s="11"/>
      <c r="N114" s="88"/>
      <c r="O114" s="78"/>
      <c r="P114" s="19">
        <v>2.1</v>
      </c>
      <c r="Q114" s="11"/>
      <c r="R114" s="88"/>
      <c r="S114" s="78"/>
      <c r="T114" s="19">
        <v>2.2000000000000002</v>
      </c>
      <c r="U114" s="11"/>
      <c r="V114" s="88"/>
      <c r="W114" s="78"/>
      <c r="X114" s="76">
        <v>2.1</v>
      </c>
      <c r="Y114" s="11">
        <v>64</v>
      </c>
      <c r="Z114" s="107">
        <v>18</v>
      </c>
      <c r="AA114" s="98">
        <v>18</v>
      </c>
      <c r="AB114" s="76" t="s">
        <v>356</v>
      </c>
      <c r="AC114" s="11"/>
      <c r="AD114" s="88"/>
      <c r="AE114" s="78"/>
      <c r="AF114" s="76">
        <v>2.2000000000000002</v>
      </c>
      <c r="AG114" s="322">
        <v>0</v>
      </c>
      <c r="AH114" s="88">
        <v>0</v>
      </c>
      <c r="AI114" s="78" t="s">
        <v>493</v>
      </c>
      <c r="AJ114" s="76">
        <v>2.2999999999999998</v>
      </c>
      <c r="AK114" s="322">
        <v>0</v>
      </c>
      <c r="AL114" s="88">
        <v>0</v>
      </c>
      <c r="AM114" s="78" t="s">
        <v>493</v>
      </c>
      <c r="AN114" s="76">
        <v>2.2000000000000002</v>
      </c>
      <c r="AO114" s="11"/>
      <c r="AP114" s="88"/>
      <c r="AQ114" s="78"/>
      <c r="AR114" s="76">
        <v>2.2999999999999998</v>
      </c>
      <c r="AS114" s="11"/>
      <c r="AT114" s="88"/>
      <c r="AU114" s="78"/>
      <c r="AV114" s="76">
        <v>2.2000000000000002</v>
      </c>
      <c r="AW114" s="11"/>
      <c r="AX114" s="88"/>
      <c r="AY114" s="78"/>
      <c r="AZ114" s="76">
        <v>2.2999999999999998</v>
      </c>
      <c r="BA114" s="11"/>
      <c r="BB114" s="88"/>
      <c r="BC114" s="78"/>
      <c r="BD114" s="302" t="s">
        <v>491</v>
      </c>
      <c r="BE114" t="str">
        <f>A114&amp;B114&amp;D114&amp;BD114&amp;$BD$112</f>
        <v>SabelaMooreForrest GumppSecondary &gt;9Novice</v>
      </c>
    </row>
    <row r="115" spans="1:57">
      <c r="A115" s="3" t="s">
        <v>139</v>
      </c>
      <c r="B115" t="s">
        <v>140</v>
      </c>
      <c r="C115" s="202" t="s">
        <v>63</v>
      </c>
      <c r="D115" s="3" t="s">
        <v>141</v>
      </c>
      <c r="E115" s="205">
        <v>11</v>
      </c>
      <c r="F115" s="88">
        <f t="shared" si="10"/>
        <v>0</v>
      </c>
      <c r="G115" s="78"/>
      <c r="H115" s="76">
        <v>2.1</v>
      </c>
      <c r="I115" s="11"/>
      <c r="J115" s="107"/>
      <c r="K115" s="78"/>
      <c r="L115" s="76">
        <v>2.2000000000000002</v>
      </c>
      <c r="M115" s="11"/>
      <c r="N115" s="88"/>
      <c r="O115" s="78"/>
      <c r="P115" s="19">
        <v>2.1</v>
      </c>
      <c r="Q115" s="11"/>
      <c r="R115" s="88"/>
      <c r="S115" s="78"/>
      <c r="T115" s="19">
        <v>2.2000000000000002</v>
      </c>
      <c r="U115" s="11"/>
      <c r="V115" s="88"/>
      <c r="W115" s="78"/>
      <c r="X115" s="76">
        <v>2.1</v>
      </c>
      <c r="Y115" s="11"/>
      <c r="Z115" s="107"/>
      <c r="AA115" s="98"/>
      <c r="AB115" s="76" t="s">
        <v>356</v>
      </c>
      <c r="AC115" s="11"/>
      <c r="AD115" s="88"/>
      <c r="AE115" s="78"/>
      <c r="AF115" s="76">
        <v>2.2000000000000002</v>
      </c>
      <c r="AG115" s="322">
        <v>0</v>
      </c>
      <c r="AH115" s="88">
        <v>0</v>
      </c>
      <c r="AI115" s="78" t="s">
        <v>493</v>
      </c>
      <c r="AJ115" s="76">
        <v>2.2999999999999998</v>
      </c>
      <c r="AK115" s="322">
        <v>0</v>
      </c>
      <c r="AL115" s="88">
        <v>0</v>
      </c>
      <c r="AM115" s="78" t="s">
        <v>493</v>
      </c>
      <c r="AN115" s="76">
        <v>2.2000000000000002</v>
      </c>
      <c r="AO115" s="11"/>
      <c r="AP115" s="88"/>
      <c r="AQ115" s="78"/>
      <c r="AR115" s="76">
        <v>2.2999999999999998</v>
      </c>
      <c r="AS115" s="11"/>
      <c r="AT115" s="88"/>
      <c r="AU115" s="78"/>
      <c r="AV115" s="76">
        <v>2.2000000000000002</v>
      </c>
      <c r="AW115" s="11"/>
      <c r="AX115" s="88"/>
      <c r="AY115" s="78"/>
      <c r="AZ115" s="76">
        <v>2.2999999999999998</v>
      </c>
      <c r="BA115" s="11"/>
      <c r="BB115" s="88"/>
      <c r="BC115" s="78"/>
      <c r="BD115" s="302" t="s">
        <v>491</v>
      </c>
      <c r="BE115" t="str">
        <f t="shared" ref="BE115:BE126" si="11">A115&amp;B115&amp;D115&amp;BD115&amp;$BD$112</f>
        <v>EllaBeisselFictionSecondary &gt;9Novice</v>
      </c>
    </row>
    <row r="116" spans="1:57">
      <c r="A116" s="3" t="s">
        <v>109</v>
      </c>
      <c r="B116" s="3" t="s">
        <v>110</v>
      </c>
      <c r="C116" s="202" t="s">
        <v>111</v>
      </c>
      <c r="D116" s="202" t="s">
        <v>112</v>
      </c>
      <c r="E116" s="205">
        <v>10</v>
      </c>
      <c r="F116" s="88">
        <f t="shared" si="10"/>
        <v>146</v>
      </c>
      <c r="G116" s="78">
        <f>SUM(O116,AA116)</f>
        <v>40</v>
      </c>
      <c r="H116" s="76">
        <v>2.1</v>
      </c>
      <c r="I116" s="11"/>
      <c r="J116" s="107"/>
      <c r="K116" s="78"/>
      <c r="L116" s="76">
        <v>2.2000000000000002</v>
      </c>
      <c r="M116" s="11">
        <v>69.531000000000006</v>
      </c>
      <c r="N116" s="88">
        <v>20</v>
      </c>
      <c r="O116" s="78">
        <v>20</v>
      </c>
      <c r="P116" s="19">
        <v>2.1</v>
      </c>
      <c r="Q116" s="11"/>
      <c r="R116" s="88"/>
      <c r="S116" s="78"/>
      <c r="T116" s="19">
        <v>2.2000000000000002</v>
      </c>
      <c r="U116" s="11"/>
      <c r="V116" s="88"/>
      <c r="W116" s="78"/>
      <c r="X116" s="76">
        <v>2.1</v>
      </c>
      <c r="Y116" s="11">
        <v>67.875</v>
      </c>
      <c r="Z116" s="107">
        <v>20</v>
      </c>
      <c r="AA116" s="98">
        <v>20</v>
      </c>
      <c r="AB116" s="76" t="s">
        <v>356</v>
      </c>
      <c r="AC116" s="11">
        <v>67.813000000000002</v>
      </c>
      <c r="AD116" s="88">
        <v>20</v>
      </c>
      <c r="AE116" s="78">
        <v>20</v>
      </c>
      <c r="AF116" s="76">
        <v>2.2000000000000002</v>
      </c>
      <c r="AG116" s="322">
        <v>0.66249999999999998</v>
      </c>
      <c r="AH116" s="88">
        <v>25</v>
      </c>
      <c r="AI116" s="78">
        <v>20</v>
      </c>
      <c r="AJ116" s="76">
        <v>2.2999999999999998</v>
      </c>
      <c r="AK116" s="322">
        <v>0.6271500000000001</v>
      </c>
      <c r="AL116" s="88">
        <v>21</v>
      </c>
      <c r="AM116" s="78">
        <v>16</v>
      </c>
      <c r="AN116" s="76">
        <v>2.2000000000000002</v>
      </c>
      <c r="AO116" s="11">
        <v>77.19</v>
      </c>
      <c r="AP116" s="88">
        <v>20</v>
      </c>
      <c r="AQ116" s="78">
        <f>AP116</f>
        <v>20</v>
      </c>
      <c r="AR116" s="76">
        <v>2.2999999999999998</v>
      </c>
      <c r="AS116" s="11">
        <v>69</v>
      </c>
      <c r="AT116" s="88">
        <v>20</v>
      </c>
      <c r="AU116" s="78">
        <f>AT116</f>
        <v>20</v>
      </c>
      <c r="AV116" s="76">
        <v>2.2000000000000002</v>
      </c>
      <c r="AW116" s="11"/>
      <c r="AX116" s="88"/>
      <c r="AY116" s="78"/>
      <c r="AZ116" s="76">
        <v>2.2999999999999998</v>
      </c>
      <c r="BA116" s="11"/>
      <c r="BB116" s="88"/>
      <c r="BC116" s="78"/>
      <c r="BD116" s="302" t="s">
        <v>491</v>
      </c>
      <c r="BE116" t="str">
        <f t="shared" si="11"/>
        <v>ElizaSpiersHillswood Beatrice Secondary &gt;9Novice</v>
      </c>
    </row>
    <row r="117" spans="1:57">
      <c r="A117" s="3" t="s">
        <v>139</v>
      </c>
      <c r="B117" t="s">
        <v>140</v>
      </c>
      <c r="C117" s="202" t="s">
        <v>63</v>
      </c>
      <c r="D117" s="202" t="s">
        <v>244</v>
      </c>
      <c r="E117" s="205">
        <v>11</v>
      </c>
      <c r="F117" s="88">
        <f t="shared" si="10"/>
        <v>63</v>
      </c>
      <c r="G117" s="78">
        <f>SUM(AE117,AM117)</f>
        <v>36</v>
      </c>
      <c r="H117" s="76">
        <v>2.1</v>
      </c>
      <c r="I117" s="11"/>
      <c r="J117" s="107"/>
      <c r="K117" s="78"/>
      <c r="L117" s="76">
        <v>2.2000000000000002</v>
      </c>
      <c r="M117" s="11"/>
      <c r="N117" s="88"/>
      <c r="O117" s="78"/>
      <c r="P117" s="19">
        <v>2.1</v>
      </c>
      <c r="Q117" s="11"/>
      <c r="R117" s="88"/>
      <c r="S117" s="78"/>
      <c r="T117" s="19">
        <v>2.2000000000000002</v>
      </c>
      <c r="U117" s="11"/>
      <c r="V117" s="88"/>
      <c r="W117" s="78"/>
      <c r="X117" s="76">
        <v>2.1</v>
      </c>
      <c r="Y117" s="11"/>
      <c r="Z117" s="107"/>
      <c r="AA117" s="98"/>
      <c r="AB117" s="76" t="s">
        <v>356</v>
      </c>
      <c r="AC117" s="11">
        <v>67.421999999999997</v>
      </c>
      <c r="AD117" s="88">
        <v>19</v>
      </c>
      <c r="AE117" s="78">
        <v>19</v>
      </c>
      <c r="AF117" s="76">
        <v>2.2000000000000002</v>
      </c>
      <c r="AG117" s="322">
        <v>0.64140624999999996</v>
      </c>
      <c r="AH117" s="88">
        <v>22</v>
      </c>
      <c r="AI117" s="78">
        <v>17</v>
      </c>
      <c r="AJ117" s="76">
        <v>2.2999999999999998</v>
      </c>
      <c r="AK117" s="322">
        <v>0.62805</v>
      </c>
      <c r="AL117" s="88">
        <v>22</v>
      </c>
      <c r="AM117" s="78">
        <v>17</v>
      </c>
      <c r="AN117" s="76">
        <v>2.2000000000000002</v>
      </c>
      <c r="AO117" s="11"/>
      <c r="AP117" s="88"/>
      <c r="AQ117" s="78"/>
      <c r="AR117" s="76">
        <v>2.2999999999999998</v>
      </c>
      <c r="AS117" s="11"/>
      <c r="AT117" s="88"/>
      <c r="AU117" s="78"/>
      <c r="AV117" s="76">
        <v>2.2000000000000002</v>
      </c>
      <c r="AW117" s="11"/>
      <c r="AX117" s="88"/>
      <c r="AY117" s="78"/>
      <c r="AZ117" s="76">
        <v>2.2999999999999998</v>
      </c>
      <c r="BA117" s="11"/>
      <c r="BB117" s="88"/>
      <c r="BC117" s="78"/>
      <c r="BD117" s="302" t="s">
        <v>491</v>
      </c>
      <c r="BE117" t="str">
        <f t="shared" si="11"/>
        <v>EllaBeisselIsle of GrandeurSecondary &gt;9Novice</v>
      </c>
    </row>
    <row r="118" spans="1:57">
      <c r="A118" s="3" t="s">
        <v>117</v>
      </c>
      <c r="B118" s="3" t="s">
        <v>118</v>
      </c>
      <c r="C118" s="202" t="s">
        <v>119</v>
      </c>
      <c r="D118" s="202" t="s">
        <v>120</v>
      </c>
      <c r="E118" s="5"/>
      <c r="F118" s="88">
        <f t="shared" si="10"/>
        <v>104</v>
      </c>
      <c r="G118" s="78">
        <f>SUM(K118,AQ118)</f>
        <v>39</v>
      </c>
      <c r="H118" s="76">
        <v>2.1</v>
      </c>
      <c r="I118" s="11">
        <v>69.423000000000002</v>
      </c>
      <c r="J118" s="107">
        <v>20</v>
      </c>
      <c r="K118" s="78">
        <v>20</v>
      </c>
      <c r="L118" s="76">
        <v>2.2000000000000002</v>
      </c>
      <c r="M118" s="11"/>
      <c r="N118" s="88"/>
      <c r="O118" s="78"/>
      <c r="P118" s="19">
        <v>2.1</v>
      </c>
      <c r="Q118" s="11"/>
      <c r="R118" s="88"/>
      <c r="S118" s="78"/>
      <c r="T118" s="19">
        <v>2.2000000000000002</v>
      </c>
      <c r="U118" s="11"/>
      <c r="V118" s="88"/>
      <c r="W118" s="78"/>
      <c r="X118" s="76">
        <v>2.1</v>
      </c>
      <c r="Y118" s="11"/>
      <c r="Z118" s="107"/>
      <c r="AA118" s="98"/>
      <c r="AB118" s="76" t="s">
        <v>356</v>
      </c>
      <c r="AC118" s="11"/>
      <c r="AD118" s="88"/>
      <c r="AE118" s="78"/>
      <c r="AF118" s="76">
        <v>2.2000000000000002</v>
      </c>
      <c r="AG118" s="322">
        <v>0.65625</v>
      </c>
      <c r="AH118" s="88">
        <v>23</v>
      </c>
      <c r="AI118" s="78">
        <v>18</v>
      </c>
      <c r="AJ118" s="76">
        <v>2.2999999999999998</v>
      </c>
      <c r="AK118" s="322">
        <v>0.63</v>
      </c>
      <c r="AL118" s="88">
        <v>23</v>
      </c>
      <c r="AM118" s="78">
        <v>18</v>
      </c>
      <c r="AN118" s="76">
        <v>2.2000000000000002</v>
      </c>
      <c r="AO118" s="11">
        <v>76.56</v>
      </c>
      <c r="AP118" s="88">
        <v>19</v>
      </c>
      <c r="AQ118" s="78">
        <f>AP118</f>
        <v>19</v>
      </c>
      <c r="AR118" s="76">
        <v>2.2999999999999998</v>
      </c>
      <c r="AS118" s="11">
        <v>68.86</v>
      </c>
      <c r="AT118" s="88">
        <v>19</v>
      </c>
      <c r="AU118" s="78">
        <f>AT118</f>
        <v>19</v>
      </c>
      <c r="AV118" s="76">
        <v>2.2000000000000002</v>
      </c>
      <c r="AW118" s="11"/>
      <c r="AX118" s="88"/>
      <c r="AY118" s="78"/>
      <c r="AZ118" s="76">
        <v>2.2999999999999998</v>
      </c>
      <c r="BA118" s="11"/>
      <c r="BB118" s="88"/>
      <c r="BC118" s="78"/>
      <c r="BD118" s="302" t="s">
        <v>491</v>
      </c>
      <c r="BE118" t="str">
        <f t="shared" si="11"/>
        <v>HaileyArnoldWyoming LassSecondary &gt;9Novice</v>
      </c>
    </row>
    <row r="119" spans="1:57">
      <c r="A119" s="3" t="s">
        <v>358</v>
      </c>
      <c r="B119" s="3" t="s">
        <v>359</v>
      </c>
      <c r="C119" s="202" t="s">
        <v>89</v>
      </c>
      <c r="D119" s="202" t="s">
        <v>360</v>
      </c>
      <c r="E119" s="5"/>
      <c r="F119" s="88">
        <f t="shared" si="10"/>
        <v>120</v>
      </c>
      <c r="G119" s="78">
        <f>SUM(AM119,O119)</f>
        <v>38</v>
      </c>
      <c r="H119" s="76">
        <v>2.1</v>
      </c>
      <c r="I119" s="11">
        <v>67.308000000000007</v>
      </c>
      <c r="J119" s="107">
        <v>19</v>
      </c>
      <c r="K119" s="78">
        <v>19</v>
      </c>
      <c r="L119" s="76">
        <v>2.2000000000000002</v>
      </c>
      <c r="M119" s="11">
        <v>65.781000000000006</v>
      </c>
      <c r="N119" s="88">
        <v>19</v>
      </c>
      <c r="O119" s="78">
        <v>19</v>
      </c>
      <c r="P119" s="19">
        <v>2.1</v>
      </c>
      <c r="Q119" s="11"/>
      <c r="R119" s="88"/>
      <c r="S119" s="78"/>
      <c r="T119" s="19">
        <v>2.2000000000000002</v>
      </c>
      <c r="U119" s="11"/>
      <c r="V119" s="88"/>
      <c r="W119" s="78"/>
      <c r="X119" s="76">
        <v>2.1</v>
      </c>
      <c r="Y119" s="11">
        <v>64.125</v>
      </c>
      <c r="Z119" s="107">
        <v>19</v>
      </c>
      <c r="AA119" s="98">
        <v>19</v>
      </c>
      <c r="AB119" s="76" t="s">
        <v>356</v>
      </c>
      <c r="AC119" s="11">
        <v>63.203000000000003</v>
      </c>
      <c r="AD119" s="88">
        <v>18</v>
      </c>
      <c r="AE119" s="78">
        <v>18</v>
      </c>
      <c r="AF119" s="76">
        <v>2.2000000000000002</v>
      </c>
      <c r="AG119" s="322">
        <v>0.63828125000000002</v>
      </c>
      <c r="AH119" s="88">
        <v>21</v>
      </c>
      <c r="AI119" s="78">
        <v>16</v>
      </c>
      <c r="AJ119" s="76">
        <v>2.2999999999999998</v>
      </c>
      <c r="AK119" s="322">
        <v>0.63929999999999998</v>
      </c>
      <c r="AL119" s="88">
        <v>24</v>
      </c>
      <c r="AM119" s="78">
        <v>19</v>
      </c>
      <c r="AN119" s="76">
        <v>2.2000000000000002</v>
      </c>
      <c r="AO119" s="11"/>
      <c r="AP119" s="88"/>
      <c r="AQ119" s="78"/>
      <c r="AR119" s="76">
        <v>2.2999999999999998</v>
      </c>
      <c r="AS119" s="11"/>
      <c r="AT119" s="88"/>
      <c r="AU119" s="78"/>
      <c r="AV119" s="76">
        <v>2.2000000000000002</v>
      </c>
      <c r="AW119" s="11"/>
      <c r="AX119" s="88"/>
      <c r="AY119" s="78"/>
      <c r="AZ119" s="76">
        <v>2.2999999999999998</v>
      </c>
      <c r="BA119" s="11"/>
      <c r="BB119" s="88"/>
      <c r="BC119" s="78"/>
      <c r="BD119" s="302" t="s">
        <v>491</v>
      </c>
      <c r="BE119" t="str">
        <f t="shared" si="11"/>
        <v>AmeliaMassicciRRQ Shorty ValentinoSecondary &gt;9Novice</v>
      </c>
    </row>
    <row r="120" spans="1:57">
      <c r="A120" s="3" t="s">
        <v>233</v>
      </c>
      <c r="B120" t="s">
        <v>191</v>
      </c>
      <c r="C120" s="219" t="s">
        <v>79</v>
      </c>
      <c r="D120" s="202" t="s">
        <v>234</v>
      </c>
      <c r="E120" s="5"/>
      <c r="F120" s="88">
        <f t="shared" si="10"/>
        <v>0</v>
      </c>
      <c r="G120" s="78"/>
      <c r="H120" s="76">
        <v>2.1</v>
      </c>
      <c r="I120" s="11"/>
      <c r="J120" s="107"/>
      <c r="K120" s="78"/>
      <c r="L120" s="76">
        <v>2.2000000000000002</v>
      </c>
      <c r="M120" s="11"/>
      <c r="N120" s="88"/>
      <c r="O120" s="78"/>
      <c r="P120" s="19">
        <v>2.1</v>
      </c>
      <c r="Q120" s="11"/>
      <c r="R120" s="88"/>
      <c r="S120" s="78"/>
      <c r="T120" s="19">
        <v>2.2000000000000002</v>
      </c>
      <c r="U120" s="11"/>
      <c r="V120" s="88"/>
      <c r="W120" s="78"/>
      <c r="X120" s="76">
        <v>2.1</v>
      </c>
      <c r="Y120" s="11"/>
      <c r="Z120" s="107"/>
      <c r="AA120" s="98"/>
      <c r="AB120" s="76" t="s">
        <v>356</v>
      </c>
      <c r="AC120" s="11"/>
      <c r="AD120" s="88"/>
      <c r="AE120" s="78"/>
      <c r="AF120" s="76">
        <v>2.2000000000000002</v>
      </c>
      <c r="AG120" s="322">
        <v>0</v>
      </c>
      <c r="AH120" s="88">
        <v>0</v>
      </c>
      <c r="AI120" s="78" t="s">
        <v>493</v>
      </c>
      <c r="AJ120" s="76">
        <v>2.2999999999999998</v>
      </c>
      <c r="AK120" s="322">
        <v>0</v>
      </c>
      <c r="AL120" s="88">
        <v>0</v>
      </c>
      <c r="AM120" s="78" t="s">
        <v>493</v>
      </c>
      <c r="AN120" s="76">
        <v>2.2000000000000002</v>
      </c>
      <c r="AO120" s="11"/>
      <c r="AP120" s="88"/>
      <c r="AQ120" s="78"/>
      <c r="AR120" s="76">
        <v>2.2999999999999998</v>
      </c>
      <c r="AS120" s="11"/>
      <c r="AT120" s="88"/>
      <c r="AU120" s="78"/>
      <c r="AV120" s="76">
        <v>2.2000000000000002</v>
      </c>
      <c r="AW120" s="11"/>
      <c r="AX120" s="88"/>
      <c r="AY120" s="78"/>
      <c r="AZ120" s="76">
        <v>2.2999999999999998</v>
      </c>
      <c r="BA120" s="11"/>
      <c r="BB120" s="88"/>
      <c r="BC120" s="78"/>
      <c r="BD120" s="302" t="s">
        <v>491</v>
      </c>
      <c r="BE120" t="str">
        <f t="shared" si="11"/>
        <v>JakePriorSP RiverSecondary &gt;9Novice</v>
      </c>
    </row>
    <row r="121" spans="1:57">
      <c r="A121" s="3" t="s">
        <v>240</v>
      </c>
      <c r="B121" s="3" t="s">
        <v>241</v>
      </c>
      <c r="C121" s="202" t="s">
        <v>242</v>
      </c>
      <c r="D121" s="202" t="s">
        <v>272</v>
      </c>
      <c r="E121" s="5"/>
      <c r="F121" s="88">
        <f t="shared" si="10"/>
        <v>0</v>
      </c>
      <c r="G121" s="78"/>
      <c r="H121" s="76">
        <v>2.1</v>
      </c>
      <c r="I121" s="11"/>
      <c r="J121" s="107"/>
      <c r="K121" s="78"/>
      <c r="L121" s="76">
        <v>2.2000000000000002</v>
      </c>
      <c r="M121" s="11"/>
      <c r="N121" s="88"/>
      <c r="O121" s="78"/>
      <c r="P121" s="19">
        <v>2.1</v>
      </c>
      <c r="Q121" s="11"/>
      <c r="R121" s="88"/>
      <c r="S121" s="78"/>
      <c r="T121" s="19">
        <v>2.2000000000000002</v>
      </c>
      <c r="U121" s="11"/>
      <c r="V121" s="88"/>
      <c r="W121" s="78"/>
      <c r="X121" s="76">
        <v>2.1</v>
      </c>
      <c r="Y121" s="11"/>
      <c r="Z121" s="107"/>
      <c r="AA121" s="98"/>
      <c r="AB121" s="76" t="s">
        <v>356</v>
      </c>
      <c r="AC121" s="11"/>
      <c r="AD121" s="88"/>
      <c r="AE121" s="78"/>
      <c r="AF121" s="76">
        <v>2.2000000000000002</v>
      </c>
      <c r="AG121" s="322">
        <v>0</v>
      </c>
      <c r="AH121" s="88">
        <v>0</v>
      </c>
      <c r="AI121" s="78" t="s">
        <v>493</v>
      </c>
      <c r="AJ121" s="76">
        <v>2.2999999999999998</v>
      </c>
      <c r="AK121" s="322">
        <v>0</v>
      </c>
      <c r="AL121" s="88">
        <v>0</v>
      </c>
      <c r="AM121" s="78" t="s">
        <v>493</v>
      </c>
      <c r="AN121" s="76">
        <v>2.2000000000000002</v>
      </c>
      <c r="AO121" s="11"/>
      <c r="AP121" s="88"/>
      <c r="AQ121" s="78"/>
      <c r="AR121" s="76">
        <v>2.2999999999999998</v>
      </c>
      <c r="AS121" s="11"/>
      <c r="AT121" s="88"/>
      <c r="AU121" s="78"/>
      <c r="AV121" s="76">
        <v>2.2000000000000002</v>
      </c>
      <c r="AW121" s="11"/>
      <c r="AX121" s="88"/>
      <c r="AY121" s="78"/>
      <c r="AZ121" s="76">
        <v>2.2999999999999998</v>
      </c>
      <c r="BA121" s="11"/>
      <c r="BB121" s="88"/>
      <c r="BC121" s="78"/>
      <c r="BD121" s="302" t="s">
        <v>491</v>
      </c>
      <c r="BE121" t="str">
        <f t="shared" si="11"/>
        <v>LilyCollinsJaponicum HitSecondary &gt;9Novice</v>
      </c>
    </row>
    <row r="122" spans="1:57">
      <c r="A122" s="3" t="s">
        <v>235</v>
      </c>
      <c r="B122" s="3" t="s">
        <v>236</v>
      </c>
      <c r="C122" s="202" t="s">
        <v>63</v>
      </c>
      <c r="D122" s="202" t="s">
        <v>361</v>
      </c>
      <c r="E122" s="5"/>
      <c r="F122" s="88">
        <f t="shared" si="10"/>
        <v>0</v>
      </c>
      <c r="G122" s="78"/>
      <c r="H122" s="76">
        <v>2.1</v>
      </c>
      <c r="I122" s="11"/>
      <c r="J122" s="107"/>
      <c r="K122" s="78"/>
      <c r="L122" s="76">
        <v>2.2000000000000002</v>
      </c>
      <c r="M122" s="11"/>
      <c r="N122" s="88"/>
      <c r="O122" s="78"/>
      <c r="P122" s="19">
        <v>2.1</v>
      </c>
      <c r="Q122" s="11"/>
      <c r="R122" s="88"/>
      <c r="S122" s="78"/>
      <c r="T122" s="19">
        <v>2.2000000000000002</v>
      </c>
      <c r="U122" s="11"/>
      <c r="V122" s="88"/>
      <c r="W122" s="78"/>
      <c r="X122" s="76">
        <v>2.1</v>
      </c>
      <c r="Y122" s="11"/>
      <c r="Z122" s="107"/>
      <c r="AA122" s="98"/>
      <c r="AB122" s="76" t="s">
        <v>356</v>
      </c>
      <c r="AC122" s="11"/>
      <c r="AD122" s="88"/>
      <c r="AE122" s="78"/>
      <c r="AF122" s="76">
        <v>2.2000000000000002</v>
      </c>
      <c r="AG122" s="322">
        <v>0</v>
      </c>
      <c r="AH122" s="88">
        <v>0</v>
      </c>
      <c r="AI122" s="78" t="s">
        <v>493</v>
      </c>
      <c r="AJ122" s="76">
        <v>2.2999999999999998</v>
      </c>
      <c r="AK122" s="322">
        <v>0</v>
      </c>
      <c r="AL122" s="88">
        <v>0</v>
      </c>
      <c r="AM122" s="78" t="s">
        <v>493</v>
      </c>
      <c r="AN122" s="76">
        <v>2.2000000000000002</v>
      </c>
      <c r="AO122" s="11"/>
      <c r="AP122" s="88"/>
      <c r="AQ122" s="78"/>
      <c r="AR122" s="76">
        <v>2.2999999999999998</v>
      </c>
      <c r="AS122" s="11"/>
      <c r="AT122" s="88"/>
      <c r="AU122" s="78"/>
      <c r="AV122" s="76">
        <v>2.2000000000000002</v>
      </c>
      <c r="AW122" s="11"/>
      <c r="AX122" s="88"/>
      <c r="AY122" s="78"/>
      <c r="AZ122" s="76">
        <v>2.2999999999999998</v>
      </c>
      <c r="BA122" s="11"/>
      <c r="BB122" s="88"/>
      <c r="BC122" s="78"/>
      <c r="BD122" s="302" t="s">
        <v>491</v>
      </c>
      <c r="BE122" t="str">
        <f t="shared" si="11"/>
        <v>LucindaHoppeDalpura AlitaSecondary &gt;9Novice</v>
      </c>
    </row>
    <row r="123" spans="1:57">
      <c r="A123" s="202" t="s">
        <v>125</v>
      </c>
      <c r="B123" s="202" t="s">
        <v>126</v>
      </c>
      <c r="C123" s="202" t="s">
        <v>127</v>
      </c>
      <c r="D123" s="202" t="s">
        <v>128</v>
      </c>
      <c r="E123" s="7"/>
      <c r="F123" s="88">
        <f t="shared" si="10"/>
        <v>0</v>
      </c>
      <c r="G123" s="78"/>
      <c r="H123" s="76">
        <v>2.1</v>
      </c>
      <c r="I123" s="11"/>
      <c r="J123" s="107"/>
      <c r="K123" s="78"/>
      <c r="L123" s="76">
        <v>2.2000000000000002</v>
      </c>
      <c r="M123" s="11"/>
      <c r="N123" s="88"/>
      <c r="O123" s="78"/>
      <c r="P123" s="19">
        <v>2.1</v>
      </c>
      <c r="Q123" s="11"/>
      <c r="R123" s="88"/>
      <c r="S123" s="78"/>
      <c r="T123" s="19">
        <v>2.2000000000000002</v>
      </c>
      <c r="U123" s="11"/>
      <c r="V123" s="88"/>
      <c r="W123" s="78"/>
      <c r="X123" s="76">
        <v>2.1</v>
      </c>
      <c r="Y123" s="11"/>
      <c r="Z123" s="107"/>
      <c r="AA123" s="98"/>
      <c r="AB123" s="76" t="s">
        <v>356</v>
      </c>
      <c r="AC123" s="11"/>
      <c r="AD123" s="88"/>
      <c r="AE123" s="78"/>
      <c r="AF123" s="76">
        <v>2.2000000000000002</v>
      </c>
      <c r="AG123" s="322">
        <v>0</v>
      </c>
      <c r="AH123" s="88">
        <v>0</v>
      </c>
      <c r="AI123" s="78" t="s">
        <v>493</v>
      </c>
      <c r="AJ123" s="76">
        <v>2.2999999999999998</v>
      </c>
      <c r="AK123" s="322">
        <v>0</v>
      </c>
      <c r="AL123" s="88">
        <v>0</v>
      </c>
      <c r="AM123" s="78" t="s">
        <v>493</v>
      </c>
      <c r="AN123" s="76">
        <v>2.2000000000000002</v>
      </c>
      <c r="AO123" s="11"/>
      <c r="AP123" s="88"/>
      <c r="AQ123" s="78"/>
      <c r="AR123" s="76">
        <v>2.2999999999999998</v>
      </c>
      <c r="AS123" s="11"/>
      <c r="AT123" s="88"/>
      <c r="AU123" s="78"/>
      <c r="AV123" s="76">
        <v>2.2000000000000002</v>
      </c>
      <c r="AW123" s="11"/>
      <c r="AX123" s="88"/>
      <c r="AY123" s="78"/>
      <c r="AZ123" s="76">
        <v>2.2999999999999998</v>
      </c>
      <c r="BA123" s="11"/>
      <c r="BB123" s="88"/>
      <c r="BC123" s="78"/>
      <c r="BD123" s="302" t="s">
        <v>491</v>
      </c>
      <c r="BE123" t="str">
        <f t="shared" si="11"/>
        <v>KeelyHutchinsonExmoor Celtic SnowSecondary &gt;9Novice</v>
      </c>
    </row>
    <row r="124" spans="1:57">
      <c r="A124" s="3" t="s">
        <v>201</v>
      </c>
      <c r="B124" s="3" t="s">
        <v>280</v>
      </c>
      <c r="C124" s="202" t="s">
        <v>63</v>
      </c>
      <c r="D124" s="202" t="s">
        <v>281</v>
      </c>
      <c r="E124" s="7"/>
      <c r="F124" s="88">
        <f t="shared" si="10"/>
        <v>49</v>
      </c>
      <c r="G124" s="78"/>
      <c r="H124" s="76">
        <v>2.1</v>
      </c>
      <c r="I124" s="11"/>
      <c r="J124" s="109"/>
      <c r="K124" s="85"/>
      <c r="L124" s="77">
        <v>2.2000000000000002</v>
      </c>
      <c r="M124" s="34"/>
      <c r="N124" s="89"/>
      <c r="O124" s="85"/>
      <c r="P124" s="31">
        <v>2.1</v>
      </c>
      <c r="Q124" s="34"/>
      <c r="R124" s="89"/>
      <c r="S124" s="85"/>
      <c r="T124" s="19">
        <v>2.2000000000000002</v>
      </c>
      <c r="U124" s="11"/>
      <c r="V124" s="88"/>
      <c r="W124" s="78"/>
      <c r="X124" s="76">
        <v>2.1</v>
      </c>
      <c r="Y124" s="11"/>
      <c r="Z124" s="107"/>
      <c r="AA124" s="98"/>
      <c r="AB124" s="76" t="s">
        <v>356</v>
      </c>
      <c r="AC124" s="11"/>
      <c r="AD124" s="88"/>
      <c r="AE124" s="78"/>
      <c r="AF124" s="76">
        <v>2.2000000000000002</v>
      </c>
      <c r="AG124" s="322">
        <v>0.66249999999999998</v>
      </c>
      <c r="AH124" s="88">
        <v>24</v>
      </c>
      <c r="AI124" s="78">
        <v>19</v>
      </c>
      <c r="AJ124" s="76">
        <v>2.2999999999999998</v>
      </c>
      <c r="AK124" s="322">
        <v>0.64999999999999991</v>
      </c>
      <c r="AL124" s="88">
        <v>25</v>
      </c>
      <c r="AM124" s="78">
        <v>20</v>
      </c>
      <c r="AN124" s="76">
        <v>2.2000000000000002</v>
      </c>
      <c r="AO124" s="11"/>
      <c r="AP124" s="88"/>
      <c r="AQ124" s="78"/>
      <c r="AR124" s="76">
        <v>2.2999999999999998</v>
      </c>
      <c r="AS124" s="11"/>
      <c r="AT124" s="88"/>
      <c r="AU124" s="78"/>
      <c r="AV124" s="76">
        <v>2.2000000000000002</v>
      </c>
      <c r="AW124" s="11"/>
      <c r="AX124" s="88"/>
      <c r="AY124" s="78"/>
      <c r="AZ124" s="76">
        <v>2.2999999999999998</v>
      </c>
      <c r="BA124" s="11"/>
      <c r="BB124" s="89"/>
      <c r="BC124" s="85"/>
      <c r="BD124" s="302" t="s">
        <v>491</v>
      </c>
      <c r="BE124" t="str">
        <f t="shared" si="11"/>
        <v>MadisonHedleyBradgate Park Don Palermo Secondary &gt;9Novice</v>
      </c>
    </row>
    <row r="125" spans="1:57">
      <c r="A125" s="3" t="s">
        <v>472</v>
      </c>
      <c r="B125" s="3" t="s">
        <v>473</v>
      </c>
      <c r="C125" s="202" t="s">
        <v>474</v>
      </c>
      <c r="D125" s="202" t="s">
        <v>475</v>
      </c>
      <c r="E125" s="7"/>
      <c r="F125" s="88"/>
      <c r="G125" s="78"/>
      <c r="H125" s="76">
        <v>2.1</v>
      </c>
      <c r="I125" s="11"/>
      <c r="J125" s="107"/>
      <c r="K125" s="78"/>
      <c r="L125" s="77">
        <v>2.2000000000000002</v>
      </c>
      <c r="M125" s="11"/>
      <c r="N125" s="88"/>
      <c r="O125" s="78"/>
      <c r="P125" s="31">
        <v>2.1</v>
      </c>
      <c r="Q125" s="11"/>
      <c r="R125" s="88"/>
      <c r="S125" s="78"/>
      <c r="T125" s="19">
        <v>2.2000000000000002</v>
      </c>
      <c r="U125" s="11"/>
      <c r="V125" s="88"/>
      <c r="W125" s="78"/>
      <c r="X125" s="76">
        <v>2.1</v>
      </c>
      <c r="Y125" s="11"/>
      <c r="Z125" s="107"/>
      <c r="AA125" s="98"/>
      <c r="AB125" s="76" t="s">
        <v>356</v>
      </c>
      <c r="AC125" s="11"/>
      <c r="AD125" s="88"/>
      <c r="AE125" s="78"/>
      <c r="AF125" s="76">
        <v>2.2000000000000002</v>
      </c>
      <c r="AG125" s="322">
        <v>0</v>
      </c>
      <c r="AH125" s="88">
        <v>0</v>
      </c>
      <c r="AI125" s="78"/>
      <c r="AJ125" s="76">
        <v>2.2999999999999998</v>
      </c>
      <c r="AK125" s="322">
        <v>0</v>
      </c>
      <c r="AL125" s="88">
        <v>0</v>
      </c>
      <c r="AM125" s="78" t="s">
        <v>493</v>
      </c>
      <c r="AN125" s="76">
        <v>2.2000000000000002</v>
      </c>
      <c r="AO125" s="11"/>
      <c r="AP125" s="88"/>
      <c r="AQ125" s="78"/>
      <c r="AR125" s="76">
        <v>2.2999999999999998</v>
      </c>
      <c r="AS125" s="11"/>
      <c r="AT125" s="88"/>
      <c r="AU125" s="78"/>
      <c r="AV125" s="76">
        <v>2.2000000000000002</v>
      </c>
      <c r="AW125" s="11"/>
      <c r="AX125" s="88"/>
      <c r="AY125" s="78"/>
      <c r="AZ125" s="76">
        <v>2.2999999999999998</v>
      </c>
      <c r="BA125" s="11"/>
      <c r="BB125" s="88"/>
      <c r="BC125" s="78"/>
      <c r="BD125" s="302" t="s">
        <v>491</v>
      </c>
      <c r="BE125" t="str">
        <f t="shared" si="11"/>
        <v>MiaOzolinsSierra Farm SerendipitySecondary &gt;9Novice</v>
      </c>
    </row>
    <row r="126" spans="1:57" ht="16.5" thickBot="1">
      <c r="A126" s="3" t="s">
        <v>143</v>
      </c>
      <c r="B126" s="3" t="s">
        <v>245</v>
      </c>
      <c r="C126" s="202" t="s">
        <v>63</v>
      </c>
      <c r="D126" s="202" t="s">
        <v>511</v>
      </c>
      <c r="E126" s="7"/>
      <c r="F126" s="344"/>
      <c r="G126" s="343"/>
      <c r="H126" s="76">
        <v>2.1</v>
      </c>
      <c r="I126" s="11"/>
      <c r="J126" s="108"/>
      <c r="K126" s="86"/>
      <c r="L126" s="76">
        <v>2.2000000000000002</v>
      </c>
      <c r="M126" s="11"/>
      <c r="N126" s="90"/>
      <c r="O126" s="86"/>
      <c r="P126" s="19">
        <v>2.1</v>
      </c>
      <c r="Q126" s="11"/>
      <c r="R126" s="90"/>
      <c r="S126" s="86"/>
      <c r="T126" s="19">
        <v>2.2000000000000002</v>
      </c>
      <c r="U126" s="11"/>
      <c r="V126" s="90"/>
      <c r="W126" s="86"/>
      <c r="X126" s="76">
        <v>2.1</v>
      </c>
      <c r="Y126" s="11"/>
      <c r="Z126" s="108"/>
      <c r="AA126" s="99"/>
      <c r="AB126" s="76" t="s">
        <v>356</v>
      </c>
      <c r="AC126" s="11"/>
      <c r="AD126" s="90"/>
      <c r="AE126" s="86"/>
      <c r="AF126" s="76">
        <v>2.2000000000000002</v>
      </c>
      <c r="AG126" s="322">
        <v>0</v>
      </c>
      <c r="AH126" s="90">
        <v>0</v>
      </c>
      <c r="AI126" s="86"/>
      <c r="AJ126" s="76">
        <v>2.2999999999999998</v>
      </c>
      <c r="AK126" s="322">
        <v>0</v>
      </c>
      <c r="AL126" s="90">
        <v>0</v>
      </c>
      <c r="AM126" s="86"/>
      <c r="AN126" s="76">
        <v>2.2000000000000002</v>
      </c>
      <c r="AO126" s="11"/>
      <c r="AP126" s="90"/>
      <c r="AQ126" s="86"/>
      <c r="AR126" s="76">
        <v>2.2999999999999998</v>
      </c>
      <c r="AS126" s="11"/>
      <c r="AT126" s="90"/>
      <c r="AU126" s="86"/>
      <c r="AV126" s="76">
        <v>2.2000000000000002</v>
      </c>
      <c r="AW126" s="11"/>
      <c r="AX126" s="90"/>
      <c r="AY126" s="86"/>
      <c r="AZ126" s="76">
        <v>2.2999999999999998</v>
      </c>
      <c r="BA126" s="11"/>
      <c r="BB126" s="90"/>
      <c r="BC126" s="86"/>
      <c r="BD126" s="302" t="s">
        <v>491</v>
      </c>
      <c r="BE126" t="str">
        <f t="shared" si="11"/>
        <v>SophieGardinerTOULANDOSecondary &gt;9Novice</v>
      </c>
    </row>
    <row r="127" spans="1:57" ht="16.5" thickBot="1">
      <c r="C127" s="212"/>
      <c r="D127" s="212"/>
      <c r="E127" s="7"/>
      <c r="G127" s="222"/>
    </row>
    <row r="128" spans="1:57" ht="24" thickBot="1">
      <c r="H128" s="418" t="s">
        <v>290</v>
      </c>
      <c r="I128" s="441"/>
      <c r="J128" s="464"/>
      <c r="K128" s="463"/>
      <c r="L128" s="463"/>
      <c r="M128" s="463"/>
      <c r="N128" s="463"/>
      <c r="O128" s="412"/>
      <c r="P128" s="390" t="s">
        <v>329</v>
      </c>
      <c r="Q128" s="391"/>
      <c r="R128" s="391"/>
      <c r="S128" s="391"/>
      <c r="T128" s="391"/>
      <c r="U128" s="391"/>
      <c r="V128" s="391"/>
      <c r="W128" s="392"/>
      <c r="X128" s="402" t="s">
        <v>512</v>
      </c>
      <c r="Y128" s="444"/>
      <c r="Z128" s="444"/>
      <c r="AA128" s="444"/>
      <c r="AB128" s="444"/>
      <c r="AC128" s="444"/>
      <c r="AD128" s="444"/>
      <c r="AE128" s="445"/>
      <c r="AF128" s="410" t="s">
        <v>330</v>
      </c>
      <c r="AG128" s="411"/>
      <c r="AH128" s="411"/>
      <c r="AI128" s="446"/>
      <c r="AJ128" s="446"/>
      <c r="AK128" s="446"/>
      <c r="AL128" s="446"/>
      <c r="AM128" s="447"/>
      <c r="AN128" s="455"/>
      <c r="AO128" s="456"/>
      <c r="AP128" s="456"/>
      <c r="AQ128" s="457"/>
      <c r="AR128" s="457"/>
      <c r="AS128" s="457"/>
      <c r="AT128" s="457"/>
      <c r="AU128" s="458"/>
      <c r="AV128" s="455" t="s">
        <v>331</v>
      </c>
      <c r="AW128" s="456"/>
      <c r="AX128" s="456"/>
      <c r="AY128" s="457"/>
      <c r="AZ128" s="457"/>
      <c r="BA128" s="457"/>
      <c r="BB128" s="457"/>
      <c r="BC128" s="458"/>
    </row>
    <row r="129" spans="1:57" ht="47.25">
      <c r="A129" s="416" t="s">
        <v>363</v>
      </c>
      <c r="B129" s="409"/>
      <c r="C129" s="409"/>
      <c r="D129" s="409"/>
      <c r="E129" s="409"/>
      <c r="F129" s="117" t="s">
        <v>9</v>
      </c>
      <c r="G129" s="51" t="s">
        <v>10</v>
      </c>
      <c r="H129" s="46" t="s">
        <v>333</v>
      </c>
      <c r="I129" s="52" t="s">
        <v>334</v>
      </c>
      <c r="J129" s="92" t="s">
        <v>15</v>
      </c>
      <c r="K129" s="65" t="s">
        <v>16</v>
      </c>
      <c r="L129" s="59" t="s">
        <v>333</v>
      </c>
      <c r="M129" s="56" t="s">
        <v>334</v>
      </c>
      <c r="N129" s="97" t="s">
        <v>15</v>
      </c>
      <c r="O129" s="51" t="s">
        <v>16</v>
      </c>
      <c r="P129" s="59" t="s">
        <v>333</v>
      </c>
      <c r="Q129" s="56" t="s">
        <v>334</v>
      </c>
      <c r="R129" s="97" t="s">
        <v>15</v>
      </c>
      <c r="S129" s="51" t="s">
        <v>16</v>
      </c>
      <c r="T129" s="59" t="s">
        <v>333</v>
      </c>
      <c r="U129" s="56" t="s">
        <v>334</v>
      </c>
      <c r="V129" s="97" t="s">
        <v>15</v>
      </c>
      <c r="W129" s="51" t="s">
        <v>16</v>
      </c>
      <c r="X129" s="59" t="s">
        <v>333</v>
      </c>
      <c r="Y129" s="56" t="s">
        <v>334</v>
      </c>
      <c r="Z129" s="92" t="s">
        <v>15</v>
      </c>
      <c r="AA129" s="51" t="s">
        <v>16</v>
      </c>
      <c r="AB129" s="59" t="s">
        <v>333</v>
      </c>
      <c r="AC129" s="56" t="s">
        <v>334</v>
      </c>
      <c r="AD129" s="97" t="s">
        <v>15</v>
      </c>
      <c r="AE129" s="51" t="s">
        <v>16</v>
      </c>
      <c r="AF129" s="59" t="s">
        <v>333</v>
      </c>
      <c r="AG129" s="326" t="s">
        <v>334</v>
      </c>
      <c r="AH129" s="97" t="s">
        <v>15</v>
      </c>
      <c r="AI129" s="51" t="s">
        <v>16</v>
      </c>
      <c r="AJ129" s="59" t="s">
        <v>333</v>
      </c>
      <c r="AK129" s="326" t="s">
        <v>334</v>
      </c>
      <c r="AL129" s="97" t="s">
        <v>15</v>
      </c>
      <c r="AM129" s="51" t="s">
        <v>16</v>
      </c>
      <c r="AN129" s="59" t="s">
        <v>333</v>
      </c>
      <c r="AO129" s="56" t="s">
        <v>334</v>
      </c>
      <c r="AP129" s="97" t="s">
        <v>15</v>
      </c>
      <c r="AQ129" s="51" t="s">
        <v>16</v>
      </c>
      <c r="AR129" s="297" t="s">
        <v>333</v>
      </c>
      <c r="AS129" s="363" t="s">
        <v>334</v>
      </c>
      <c r="AT129" s="97" t="s">
        <v>15</v>
      </c>
      <c r="AU129" s="51" t="s">
        <v>16</v>
      </c>
      <c r="AV129" s="59" t="s">
        <v>333</v>
      </c>
      <c r="AW129" s="56" t="s">
        <v>334</v>
      </c>
      <c r="AX129" s="97" t="s">
        <v>15</v>
      </c>
      <c r="AY129" s="51" t="s">
        <v>16</v>
      </c>
      <c r="AZ129" s="59" t="s">
        <v>333</v>
      </c>
      <c r="BA129" s="56" t="s">
        <v>334</v>
      </c>
      <c r="BB129" s="97" t="s">
        <v>15</v>
      </c>
      <c r="BC129" s="51" t="s">
        <v>16</v>
      </c>
      <c r="BD129" s="294" t="s">
        <v>509</v>
      </c>
    </row>
    <row r="130" spans="1:57" s="45" customFormat="1">
      <c r="A130" s="1" t="s">
        <v>22</v>
      </c>
      <c r="B130" s="1" t="s">
        <v>23</v>
      </c>
      <c r="C130" s="4" t="s">
        <v>24</v>
      </c>
      <c r="D130" s="1" t="s">
        <v>25</v>
      </c>
      <c r="E130" s="4" t="s">
        <v>26</v>
      </c>
      <c r="F130" s="88">
        <f t="shared" ref="F130:F136" si="12">J130+N130+R130+V130+Z130+AD130+AH130+AL130+AP130+AT130</f>
        <v>0</v>
      </c>
      <c r="G130" s="78"/>
      <c r="H130" s="76"/>
      <c r="I130" s="11"/>
      <c r="J130" s="107"/>
      <c r="K130" s="98"/>
      <c r="L130" s="76"/>
      <c r="M130" s="11"/>
      <c r="N130" s="88"/>
      <c r="O130" s="78"/>
      <c r="P130" s="19"/>
      <c r="Q130" s="11"/>
      <c r="R130" s="88"/>
      <c r="S130" s="78"/>
      <c r="T130" s="19"/>
      <c r="U130" s="11"/>
      <c r="V130" s="88"/>
      <c r="W130" s="78"/>
      <c r="X130" s="76"/>
      <c r="Y130" s="11"/>
      <c r="Z130" s="107"/>
      <c r="AA130" s="78"/>
      <c r="AB130" s="76"/>
      <c r="AC130" s="11"/>
      <c r="AD130" s="88"/>
      <c r="AE130" s="78"/>
      <c r="AF130" s="76"/>
      <c r="AG130" s="323"/>
      <c r="AH130" s="88"/>
      <c r="AI130" s="78"/>
      <c r="AJ130" s="76"/>
      <c r="AK130" s="323"/>
      <c r="AL130" s="88"/>
      <c r="AM130" s="78" t="s">
        <v>493</v>
      </c>
      <c r="AN130" s="76"/>
      <c r="AO130" s="11"/>
      <c r="AP130" s="88"/>
      <c r="AQ130" s="78"/>
      <c r="AR130" s="362"/>
      <c r="AS130" s="33"/>
      <c r="AT130" s="88"/>
      <c r="AU130" s="78"/>
      <c r="AV130" s="76"/>
      <c r="AW130" s="11"/>
      <c r="AX130" s="88"/>
      <c r="AY130" s="78"/>
      <c r="AZ130" s="76"/>
      <c r="BA130" s="11"/>
      <c r="BB130" s="88"/>
      <c r="BC130" s="78"/>
    </row>
    <row r="131" spans="1:57">
      <c r="A131" s="3" t="s">
        <v>61</v>
      </c>
      <c r="B131" s="3" t="s">
        <v>62</v>
      </c>
      <c r="C131" s="202" t="s">
        <v>63</v>
      </c>
      <c r="D131" s="202" t="s">
        <v>64</v>
      </c>
      <c r="E131" s="218">
        <v>7</v>
      </c>
      <c r="F131" s="88">
        <f t="shared" si="12"/>
        <v>125</v>
      </c>
      <c r="G131" s="78">
        <v>40</v>
      </c>
      <c r="H131" s="76">
        <v>3.1</v>
      </c>
      <c r="I131" s="11">
        <v>62.570999999999998</v>
      </c>
      <c r="J131" s="107">
        <v>19</v>
      </c>
      <c r="K131" s="98">
        <v>19</v>
      </c>
      <c r="L131" s="76">
        <v>3.2</v>
      </c>
      <c r="M131" s="11"/>
      <c r="N131" s="88"/>
      <c r="O131" s="78"/>
      <c r="P131" s="19">
        <v>3.1</v>
      </c>
      <c r="Q131" s="11"/>
      <c r="R131" s="88"/>
      <c r="S131" s="78"/>
      <c r="T131" s="19">
        <v>3.2</v>
      </c>
      <c r="U131" s="11"/>
      <c r="V131" s="88"/>
      <c r="W131" s="78"/>
      <c r="X131" s="76">
        <v>3.1</v>
      </c>
      <c r="Y131" s="11"/>
      <c r="Z131" s="107"/>
      <c r="AA131" s="78"/>
      <c r="AB131" s="76">
        <v>3.2</v>
      </c>
      <c r="AC131" s="11">
        <v>62.563000000000002</v>
      </c>
      <c r="AD131" s="88">
        <v>20</v>
      </c>
      <c r="AE131" s="78">
        <v>20</v>
      </c>
      <c r="AF131" s="76">
        <v>3.2</v>
      </c>
      <c r="AG131" s="322">
        <v>0.60875000000000001</v>
      </c>
      <c r="AH131" s="88">
        <v>23</v>
      </c>
      <c r="AI131" s="78">
        <v>18</v>
      </c>
      <c r="AJ131" s="76">
        <v>3.3</v>
      </c>
      <c r="AK131" s="322">
        <v>0.59272000000000002</v>
      </c>
      <c r="AL131" s="88">
        <v>23</v>
      </c>
      <c r="AM131" s="78">
        <v>18</v>
      </c>
      <c r="AN131" s="76">
        <v>3.2</v>
      </c>
      <c r="AO131" s="360">
        <v>0.62250000000000005</v>
      </c>
      <c r="AP131" s="88">
        <v>20</v>
      </c>
      <c r="AQ131" s="78">
        <v>20</v>
      </c>
      <c r="AR131" s="362">
        <v>3.3</v>
      </c>
      <c r="AS131" s="364">
        <v>0.62680000000000002</v>
      </c>
      <c r="AT131" s="88">
        <v>20</v>
      </c>
      <c r="AU131" s="78">
        <v>20</v>
      </c>
      <c r="AV131" s="76">
        <v>3.2</v>
      </c>
      <c r="AW131" s="11"/>
      <c r="AX131" s="88"/>
      <c r="AY131" s="78"/>
      <c r="AZ131" s="76">
        <v>3.3</v>
      </c>
      <c r="BA131" s="11"/>
      <c r="BB131" s="88"/>
      <c r="BC131" s="78"/>
      <c r="BD131" s="302" t="s">
        <v>491</v>
      </c>
      <c r="BE131" t="str">
        <f>A131&amp;B131&amp;D131&amp;BD131&amp;$BD$129</f>
        <v>AbigailGrahamWyann Guns and RosesSecondary &gt;9Elementary</v>
      </c>
    </row>
    <row r="132" spans="1:57">
      <c r="A132" s="3" t="s">
        <v>143</v>
      </c>
      <c r="B132" s="3" t="s">
        <v>37</v>
      </c>
      <c r="C132" s="3" t="s">
        <v>38</v>
      </c>
      <c r="D132" s="202" t="s">
        <v>222</v>
      </c>
      <c r="E132" s="216">
        <v>8</v>
      </c>
      <c r="F132" s="88">
        <f t="shared" si="12"/>
        <v>0</v>
      </c>
      <c r="G132" s="85"/>
      <c r="H132" s="76">
        <v>3.1</v>
      </c>
      <c r="I132" s="11"/>
      <c r="J132" s="107"/>
      <c r="K132" s="106"/>
      <c r="L132" s="76">
        <v>3.2</v>
      </c>
      <c r="M132" s="11"/>
      <c r="N132" s="89"/>
      <c r="O132" s="85"/>
      <c r="P132" s="19">
        <v>3.1</v>
      </c>
      <c r="Q132" s="11"/>
      <c r="R132" s="89"/>
      <c r="S132" s="85"/>
      <c r="T132" s="19">
        <v>3.2</v>
      </c>
      <c r="U132" s="11"/>
      <c r="V132" s="89"/>
      <c r="W132" s="85"/>
      <c r="X132" s="76">
        <v>3.1</v>
      </c>
      <c r="Y132" s="11"/>
      <c r="Z132" s="109"/>
      <c r="AA132" s="85"/>
      <c r="AB132" s="76">
        <v>3.2</v>
      </c>
      <c r="AC132" s="11"/>
      <c r="AD132" s="89"/>
      <c r="AE132" s="85"/>
      <c r="AF132" s="76">
        <v>3.2</v>
      </c>
      <c r="AG132" s="322">
        <v>0</v>
      </c>
      <c r="AH132" s="88">
        <v>0</v>
      </c>
      <c r="AI132" s="78" t="s">
        <v>493</v>
      </c>
      <c r="AJ132" s="76">
        <v>3.3</v>
      </c>
      <c r="AK132" s="322">
        <v>0</v>
      </c>
      <c r="AL132" s="88">
        <v>0</v>
      </c>
      <c r="AM132" s="78" t="s">
        <v>493</v>
      </c>
      <c r="AN132" s="76">
        <v>3.2</v>
      </c>
      <c r="AO132" s="11"/>
      <c r="AP132" s="89"/>
      <c r="AQ132" s="85"/>
      <c r="AR132" s="362">
        <v>3.3</v>
      </c>
      <c r="AS132" s="33"/>
      <c r="AT132" s="89"/>
      <c r="AU132" s="85"/>
      <c r="AV132" s="76">
        <v>3.2</v>
      </c>
      <c r="AW132" s="11"/>
      <c r="AX132" s="89"/>
      <c r="AY132" s="85"/>
      <c r="AZ132" s="76">
        <v>3.3</v>
      </c>
      <c r="BA132" s="11"/>
      <c r="BB132" s="89"/>
      <c r="BC132" s="85"/>
      <c r="BD132" s="302" t="s">
        <v>491</v>
      </c>
      <c r="BE132" t="str">
        <f t="shared" ref="BE132:BE135" si="13">A132&amp;B132&amp;D132&amp;BD132&amp;$BD$129</f>
        <v>SophieMeaneySkye's The LimitsSecondary &gt;9Elementary</v>
      </c>
    </row>
    <row r="133" spans="1:57">
      <c r="A133" s="3" t="s">
        <v>201</v>
      </c>
      <c r="B133" s="3" t="s">
        <v>280</v>
      </c>
      <c r="C133" s="202" t="s">
        <v>63</v>
      </c>
      <c r="D133" s="202" t="s">
        <v>281</v>
      </c>
      <c r="E133" s="216"/>
      <c r="F133" s="88">
        <f t="shared" si="12"/>
        <v>18</v>
      </c>
      <c r="G133" s="85"/>
      <c r="H133" s="76">
        <v>3.1</v>
      </c>
      <c r="I133" s="227">
        <v>59.856999999999999</v>
      </c>
      <c r="J133" s="107">
        <v>18</v>
      </c>
      <c r="K133" s="106">
        <v>18</v>
      </c>
      <c r="L133" s="76">
        <v>3.2</v>
      </c>
      <c r="M133" s="11"/>
      <c r="N133" s="89"/>
      <c r="O133" s="85"/>
      <c r="P133" s="19">
        <v>3.1</v>
      </c>
      <c r="Q133" s="11"/>
      <c r="R133" s="89"/>
      <c r="S133" s="85"/>
      <c r="T133" s="19">
        <v>3.2</v>
      </c>
      <c r="U133" s="11"/>
      <c r="V133" s="89"/>
      <c r="W133" s="85"/>
      <c r="X133" s="76">
        <v>3.1</v>
      </c>
      <c r="Y133" s="11"/>
      <c r="Z133" s="109"/>
      <c r="AA133" s="85"/>
      <c r="AB133" s="76">
        <v>3.2</v>
      </c>
      <c r="AC133" s="11"/>
      <c r="AD133" s="89"/>
      <c r="AE133" s="85"/>
      <c r="AF133" s="76">
        <v>3.2</v>
      </c>
      <c r="AG133" s="322">
        <v>0</v>
      </c>
      <c r="AH133" s="88">
        <v>0</v>
      </c>
      <c r="AI133" s="78" t="s">
        <v>493</v>
      </c>
      <c r="AJ133" s="76">
        <v>3.3</v>
      </c>
      <c r="AK133" s="322">
        <v>0</v>
      </c>
      <c r="AL133" s="88">
        <v>0</v>
      </c>
      <c r="AM133" s="78" t="s">
        <v>493</v>
      </c>
      <c r="AN133" s="76">
        <v>3.2</v>
      </c>
      <c r="AO133" s="11"/>
      <c r="AP133" s="89"/>
      <c r="AQ133" s="85"/>
      <c r="AR133" s="362">
        <v>3.3</v>
      </c>
      <c r="AS133" s="33"/>
      <c r="AT133" s="89"/>
      <c r="AU133" s="85"/>
      <c r="AV133" s="76">
        <v>3.2</v>
      </c>
      <c r="AW133" s="11"/>
      <c r="AX133" s="89"/>
      <c r="AY133" s="85"/>
      <c r="AZ133" s="76">
        <v>3.3</v>
      </c>
      <c r="BA133" s="11"/>
      <c r="BB133" s="89"/>
      <c r="BC133" s="85"/>
      <c r="BD133" s="302" t="s">
        <v>491</v>
      </c>
      <c r="BE133" t="str">
        <f t="shared" si="13"/>
        <v>MadisonHedleyBradgate Park Don Palermo Secondary &gt;9Elementary</v>
      </c>
    </row>
    <row r="134" spans="1:57">
      <c r="A134" s="3" t="s">
        <v>345</v>
      </c>
      <c r="B134" s="3" t="s">
        <v>346</v>
      </c>
      <c r="C134" s="202" t="s">
        <v>347</v>
      </c>
      <c r="D134" s="202" t="s">
        <v>348</v>
      </c>
      <c r="E134" s="205">
        <v>6</v>
      </c>
      <c r="F134" s="88">
        <f t="shared" si="12"/>
        <v>59</v>
      </c>
      <c r="G134" s="85">
        <v>39</v>
      </c>
      <c r="H134" s="76">
        <v>3.1</v>
      </c>
      <c r="I134" s="11">
        <v>63.713999999999999</v>
      </c>
      <c r="J134" s="107">
        <v>20</v>
      </c>
      <c r="K134" s="106">
        <v>20</v>
      </c>
      <c r="L134" s="76">
        <v>3.2</v>
      </c>
      <c r="M134" s="11"/>
      <c r="N134" s="89"/>
      <c r="O134" s="85"/>
      <c r="P134" s="19">
        <v>3.1</v>
      </c>
      <c r="Q134" s="11"/>
      <c r="R134" s="89"/>
      <c r="S134" s="85"/>
      <c r="T134" s="19">
        <v>3.2</v>
      </c>
      <c r="U134" s="11"/>
      <c r="V134" s="89"/>
      <c r="W134" s="85"/>
      <c r="X134" s="76">
        <v>3.1</v>
      </c>
      <c r="Y134" s="11">
        <v>64.070999999999998</v>
      </c>
      <c r="Z134" s="109">
        <v>20</v>
      </c>
      <c r="AA134" s="85">
        <v>20</v>
      </c>
      <c r="AB134" s="76">
        <v>3.2</v>
      </c>
      <c r="AC134" s="11">
        <v>60.875</v>
      </c>
      <c r="AD134" s="89">
        <v>19</v>
      </c>
      <c r="AE134" s="85">
        <v>19</v>
      </c>
      <c r="AF134" s="76">
        <v>3.2</v>
      </c>
      <c r="AG134" s="322">
        <v>0</v>
      </c>
      <c r="AH134" s="88">
        <v>0</v>
      </c>
      <c r="AI134" s="78" t="s">
        <v>493</v>
      </c>
      <c r="AJ134" s="76">
        <v>3.3</v>
      </c>
      <c r="AK134" s="322">
        <v>0</v>
      </c>
      <c r="AL134" s="88">
        <v>0</v>
      </c>
      <c r="AM134" s="78" t="s">
        <v>493</v>
      </c>
      <c r="AN134" s="76">
        <v>3.2</v>
      </c>
      <c r="AO134" s="11"/>
      <c r="AP134" s="89"/>
      <c r="AQ134" s="85"/>
      <c r="AR134" s="362">
        <v>3.3</v>
      </c>
      <c r="AS134" s="33"/>
      <c r="AT134" s="89"/>
      <c r="AU134" s="85"/>
      <c r="AV134" s="76">
        <v>3.2</v>
      </c>
      <c r="AW134" s="11"/>
      <c r="AX134" s="89"/>
      <c r="AY134" s="85"/>
      <c r="AZ134" s="76">
        <v>3.3</v>
      </c>
      <c r="BA134" s="11"/>
      <c r="BB134" s="89"/>
      <c r="BC134" s="85"/>
      <c r="BD134" s="302" t="s">
        <v>491</v>
      </c>
      <c r="BE134" t="str">
        <f t="shared" si="13"/>
        <v>AirlieWheadonMiss PeaSecondary &gt;9Elementary</v>
      </c>
    </row>
    <row r="135" spans="1:57">
      <c r="A135" s="3" t="s">
        <v>345</v>
      </c>
      <c r="B135" s="3" t="s">
        <v>346</v>
      </c>
      <c r="C135" s="202" t="s">
        <v>347</v>
      </c>
      <c r="D135" s="202" t="s">
        <v>349</v>
      </c>
      <c r="E135" s="205">
        <v>6</v>
      </c>
      <c r="F135" s="88">
        <f t="shared" si="12"/>
        <v>68</v>
      </c>
      <c r="G135" s="78">
        <f>O135+AM135</f>
        <v>40</v>
      </c>
      <c r="H135" s="76">
        <v>3.1</v>
      </c>
      <c r="I135" s="11"/>
      <c r="J135" s="107"/>
      <c r="K135" s="98"/>
      <c r="L135" s="76">
        <v>3.2</v>
      </c>
      <c r="M135" s="11">
        <v>62.5</v>
      </c>
      <c r="N135" s="88">
        <v>19</v>
      </c>
      <c r="O135" s="78">
        <v>20</v>
      </c>
      <c r="P135" s="19">
        <v>3.1</v>
      </c>
      <c r="Q135" s="11"/>
      <c r="R135" s="88"/>
      <c r="S135" s="78"/>
      <c r="T135" s="19">
        <v>3.2</v>
      </c>
      <c r="U135" s="11"/>
      <c r="V135" s="89"/>
      <c r="W135" s="85"/>
      <c r="X135" s="77">
        <v>3.1</v>
      </c>
      <c r="Y135" s="34"/>
      <c r="Z135" s="109"/>
      <c r="AA135" s="85"/>
      <c r="AB135" s="77">
        <v>3.2</v>
      </c>
      <c r="AC135" s="34"/>
      <c r="AD135" s="89"/>
      <c r="AE135" s="85"/>
      <c r="AF135" s="76">
        <v>3.2</v>
      </c>
      <c r="AG135" s="322">
        <v>0.609375</v>
      </c>
      <c r="AH135" s="88">
        <v>24</v>
      </c>
      <c r="AI135" s="78">
        <v>19</v>
      </c>
      <c r="AJ135" s="76">
        <v>3.3</v>
      </c>
      <c r="AK135" s="322">
        <v>0.60545000000000004</v>
      </c>
      <c r="AL135" s="88">
        <v>25</v>
      </c>
      <c r="AM135" s="78">
        <v>20</v>
      </c>
      <c r="AN135" s="76">
        <v>3.2</v>
      </c>
      <c r="AO135" s="11"/>
      <c r="AP135" s="88"/>
      <c r="AQ135" s="78"/>
      <c r="AR135" s="362">
        <v>3.3</v>
      </c>
      <c r="AS135" s="33"/>
      <c r="AT135" s="88"/>
      <c r="AU135" s="78"/>
      <c r="AV135" s="76">
        <v>3.2</v>
      </c>
      <c r="AW135" s="11"/>
      <c r="AX135" s="88"/>
      <c r="AY135" s="78"/>
      <c r="AZ135" s="76">
        <v>3.3</v>
      </c>
      <c r="BA135" s="11"/>
      <c r="BB135" s="88"/>
      <c r="BC135" s="78"/>
      <c r="BD135" s="302" t="s">
        <v>491</v>
      </c>
      <c r="BE135" t="str">
        <f t="shared" si="13"/>
        <v>AirlieWheadonWillowcroft Warrior Secondary &gt;9Elementary</v>
      </c>
    </row>
    <row r="136" spans="1:57">
      <c r="A136" s="3" t="s">
        <v>143</v>
      </c>
      <c r="B136" s="3" t="s">
        <v>245</v>
      </c>
      <c r="C136" s="202" t="s">
        <v>63</v>
      </c>
      <c r="D136" s="202" t="s">
        <v>476</v>
      </c>
      <c r="E136" s="7"/>
      <c r="F136" s="88">
        <f t="shared" si="12"/>
        <v>49</v>
      </c>
      <c r="G136" s="85"/>
      <c r="H136" s="76">
        <v>3.1</v>
      </c>
      <c r="I136" s="11"/>
      <c r="J136" s="107"/>
      <c r="K136" s="98"/>
      <c r="L136" s="76">
        <v>3.2</v>
      </c>
      <c r="M136" s="11"/>
      <c r="N136" s="88"/>
      <c r="O136" s="78"/>
      <c r="P136" s="19">
        <v>3.1</v>
      </c>
      <c r="Q136" s="11"/>
      <c r="R136" s="88"/>
      <c r="S136" s="78"/>
      <c r="T136" s="19">
        <v>3.2</v>
      </c>
      <c r="U136" s="11"/>
      <c r="V136" s="88"/>
      <c r="W136" s="78"/>
      <c r="X136" s="76">
        <v>3.1</v>
      </c>
      <c r="Y136" s="11"/>
      <c r="Z136" s="107"/>
      <c r="AA136" s="78"/>
      <c r="AB136" s="77">
        <v>3.2</v>
      </c>
      <c r="AC136" s="11"/>
      <c r="AD136" s="88"/>
      <c r="AE136" s="78"/>
      <c r="AF136" s="76">
        <v>3.2</v>
      </c>
      <c r="AG136" s="321">
        <v>0.62937500000000002</v>
      </c>
      <c r="AH136" s="88">
        <v>25</v>
      </c>
      <c r="AI136" s="78">
        <v>20</v>
      </c>
      <c r="AJ136" s="76">
        <v>3.3</v>
      </c>
      <c r="AK136" s="323">
        <v>0.6</v>
      </c>
      <c r="AL136" s="89">
        <v>24</v>
      </c>
      <c r="AM136" s="78">
        <v>19</v>
      </c>
      <c r="AN136" s="76">
        <v>3.2</v>
      </c>
      <c r="AO136" s="11"/>
      <c r="AP136" s="88"/>
      <c r="AQ136" s="78"/>
      <c r="AR136" s="362">
        <v>3.3</v>
      </c>
      <c r="AS136" s="33"/>
      <c r="AT136" s="88"/>
      <c r="AU136" s="78"/>
      <c r="AV136" s="76">
        <v>3.2</v>
      </c>
      <c r="AW136" s="11"/>
      <c r="AX136" s="88"/>
      <c r="AY136" s="78"/>
      <c r="AZ136" s="76">
        <v>3.3</v>
      </c>
      <c r="BA136" s="11"/>
      <c r="BB136" s="88"/>
      <c r="BC136" s="78"/>
    </row>
    <row r="137" spans="1:57">
      <c r="A137" s="3"/>
      <c r="B137" s="3"/>
      <c r="C137" s="202"/>
      <c r="D137" s="202"/>
      <c r="E137" s="7"/>
      <c r="F137" s="88"/>
      <c r="G137" s="85"/>
      <c r="H137" s="76">
        <v>3.1</v>
      </c>
      <c r="I137" s="11"/>
      <c r="J137" s="107"/>
      <c r="K137" s="106"/>
      <c r="L137" s="76">
        <v>3.2</v>
      </c>
      <c r="M137" s="11"/>
      <c r="N137" s="89"/>
      <c r="O137" s="85"/>
      <c r="P137" s="19">
        <v>3.1</v>
      </c>
      <c r="Q137" s="11"/>
      <c r="R137" s="89"/>
      <c r="S137" s="85"/>
      <c r="T137" s="19">
        <v>3.2</v>
      </c>
      <c r="U137" s="11"/>
      <c r="V137" s="89"/>
      <c r="W137" s="85"/>
      <c r="X137" s="76">
        <v>3.1</v>
      </c>
      <c r="Y137" s="11"/>
      <c r="Z137" s="109"/>
      <c r="AA137" s="85"/>
      <c r="AB137" s="77">
        <v>3.2</v>
      </c>
      <c r="AC137" s="11"/>
      <c r="AD137" s="89"/>
      <c r="AE137" s="85"/>
      <c r="AF137" s="76">
        <v>3.2</v>
      </c>
      <c r="AG137" s="322"/>
      <c r="AH137" s="88"/>
      <c r="AI137" s="78" t="s">
        <v>493</v>
      </c>
      <c r="AJ137" s="76">
        <v>3.3</v>
      </c>
      <c r="AK137" s="323"/>
      <c r="AL137" s="89"/>
      <c r="AM137" s="78" t="s">
        <v>493</v>
      </c>
      <c r="AN137" s="76">
        <v>3.2</v>
      </c>
      <c r="AO137" s="11"/>
      <c r="AP137" s="377"/>
      <c r="AQ137" s="79"/>
      <c r="AR137" s="362">
        <v>3.3</v>
      </c>
      <c r="AS137" s="33"/>
      <c r="AT137" s="88"/>
      <c r="AU137" s="78"/>
      <c r="AV137" s="76">
        <v>3.2</v>
      </c>
      <c r="AW137" s="11"/>
      <c r="AX137" s="88"/>
      <c r="AY137" s="78"/>
      <c r="AZ137" s="76">
        <v>3.3</v>
      </c>
      <c r="BA137" s="11"/>
      <c r="BB137" s="88"/>
      <c r="BC137" s="78"/>
    </row>
    <row r="138" spans="1:57" ht="16.5" thickBot="1">
      <c r="A138" s="3"/>
      <c r="B138" s="3"/>
      <c r="C138" s="202"/>
      <c r="D138" s="202"/>
      <c r="E138" s="7"/>
      <c r="F138" s="90"/>
      <c r="G138" s="86"/>
      <c r="H138" s="76">
        <v>3.1</v>
      </c>
      <c r="I138" s="11"/>
      <c r="J138" s="108"/>
      <c r="K138" s="99"/>
      <c r="L138" s="76">
        <v>3.2</v>
      </c>
      <c r="M138" s="11"/>
      <c r="N138" s="90"/>
      <c r="O138" s="86"/>
      <c r="P138" s="19">
        <v>3.1</v>
      </c>
      <c r="Q138" s="11"/>
      <c r="R138" s="90"/>
      <c r="S138" s="86"/>
      <c r="T138" s="19">
        <v>3.2</v>
      </c>
      <c r="U138" s="11"/>
      <c r="V138" s="90"/>
      <c r="W138" s="86"/>
      <c r="X138" s="76">
        <v>3.1</v>
      </c>
      <c r="Y138" s="11"/>
      <c r="Z138" s="108"/>
      <c r="AA138" s="86"/>
      <c r="AB138" s="77">
        <v>3.2</v>
      </c>
      <c r="AC138" s="11"/>
      <c r="AD138" s="90"/>
      <c r="AE138" s="86"/>
      <c r="AF138" s="76">
        <v>3.2</v>
      </c>
      <c r="AG138" s="322"/>
      <c r="AH138" s="90"/>
      <c r="AI138" s="86" t="s">
        <v>493</v>
      </c>
      <c r="AJ138" s="76">
        <v>3.3</v>
      </c>
      <c r="AK138" s="323"/>
      <c r="AL138" s="90"/>
      <c r="AM138" s="86" t="s">
        <v>493</v>
      </c>
      <c r="AN138" s="76">
        <v>3.2</v>
      </c>
      <c r="AO138" s="11"/>
      <c r="AP138" s="90"/>
      <c r="AQ138" s="86"/>
      <c r="AR138" s="362">
        <v>3.3</v>
      </c>
      <c r="AS138" s="50"/>
      <c r="AT138" s="90"/>
      <c r="AU138" s="86"/>
      <c r="AV138" s="76">
        <v>3.2</v>
      </c>
      <c r="AW138" s="11"/>
      <c r="AX138" s="90"/>
      <c r="AY138" s="86"/>
      <c r="AZ138" s="76">
        <v>3.3</v>
      </c>
      <c r="BA138" s="11"/>
      <c r="BB138" s="90"/>
      <c r="BC138" s="86"/>
    </row>
    <row r="139" spans="1:57" ht="16.5" thickBot="1">
      <c r="A139" s="7"/>
      <c r="B139" s="7"/>
      <c r="C139" s="7"/>
      <c r="D139" s="7"/>
      <c r="E139" s="7"/>
    </row>
    <row r="140" spans="1:57" ht="24" thickBot="1">
      <c r="H140" s="418" t="s">
        <v>290</v>
      </c>
      <c r="I140" s="441"/>
      <c r="J140" s="441"/>
      <c r="K140" s="463"/>
      <c r="L140" s="463"/>
      <c r="M140" s="463"/>
      <c r="N140" s="463"/>
      <c r="O140" s="412"/>
      <c r="P140" s="390" t="s">
        <v>329</v>
      </c>
      <c r="Q140" s="391"/>
      <c r="R140" s="391"/>
      <c r="S140" s="391"/>
      <c r="T140" s="391"/>
      <c r="U140" s="391"/>
      <c r="V140" s="391"/>
      <c r="W140" s="392"/>
      <c r="X140" s="402" t="s">
        <v>512</v>
      </c>
      <c r="Y140" s="444"/>
      <c r="Z140" s="444"/>
      <c r="AA140" s="444"/>
      <c r="AB140" s="444"/>
      <c r="AC140" s="444"/>
      <c r="AD140" s="444"/>
      <c r="AE140" s="445"/>
      <c r="AF140" s="448" t="s">
        <v>330</v>
      </c>
      <c r="AG140" s="449"/>
      <c r="AH140" s="449"/>
      <c r="AI140" s="450"/>
      <c r="AJ140" s="450"/>
      <c r="AK140" s="450"/>
      <c r="AL140" s="450"/>
      <c r="AM140" s="451"/>
      <c r="AN140" s="459"/>
      <c r="AO140" s="460"/>
      <c r="AP140" s="460"/>
      <c r="AQ140" s="461"/>
      <c r="AR140" s="461"/>
      <c r="AS140" s="461"/>
      <c r="AT140" s="461"/>
      <c r="AU140" s="462"/>
      <c r="AV140" s="459" t="s">
        <v>331</v>
      </c>
      <c r="AW140" s="460"/>
      <c r="AX140" s="460"/>
      <c r="AY140" s="461"/>
      <c r="AZ140" s="461"/>
      <c r="BA140" s="461"/>
      <c r="BB140" s="461"/>
      <c r="BC140" s="462"/>
    </row>
    <row r="141" spans="1:57" ht="47.25">
      <c r="A141" s="416" t="s">
        <v>364</v>
      </c>
      <c r="B141" s="409"/>
      <c r="C141" s="409"/>
      <c r="D141" s="409"/>
      <c r="E141" s="409"/>
      <c r="F141" s="117" t="s">
        <v>9</v>
      </c>
      <c r="G141" s="65" t="s">
        <v>10</v>
      </c>
      <c r="H141" s="38" t="s">
        <v>333</v>
      </c>
      <c r="I141" s="44" t="s">
        <v>334</v>
      </c>
      <c r="J141" s="92" t="s">
        <v>15</v>
      </c>
      <c r="K141" s="51" t="s">
        <v>16</v>
      </c>
      <c r="L141" s="59" t="s">
        <v>333</v>
      </c>
      <c r="M141" s="56" t="s">
        <v>334</v>
      </c>
      <c r="N141" s="97" t="s">
        <v>15</v>
      </c>
      <c r="O141" s="51" t="s">
        <v>16</v>
      </c>
      <c r="P141" s="59" t="s">
        <v>333</v>
      </c>
      <c r="Q141" s="56" t="s">
        <v>334</v>
      </c>
      <c r="R141" s="97" t="s">
        <v>15</v>
      </c>
      <c r="S141" s="51" t="s">
        <v>16</v>
      </c>
      <c r="T141" s="59" t="s">
        <v>333</v>
      </c>
      <c r="U141" s="56" t="s">
        <v>334</v>
      </c>
      <c r="V141" s="97" t="s">
        <v>15</v>
      </c>
      <c r="W141" s="51" t="s">
        <v>16</v>
      </c>
      <c r="X141" s="59" t="s">
        <v>333</v>
      </c>
      <c r="Y141" s="56" t="s">
        <v>334</v>
      </c>
      <c r="Z141" s="92" t="s">
        <v>15</v>
      </c>
      <c r="AA141" s="51" t="s">
        <v>16</v>
      </c>
      <c r="AB141" s="59" t="s">
        <v>333</v>
      </c>
      <c r="AC141" s="56" t="s">
        <v>334</v>
      </c>
      <c r="AD141" s="97" t="s">
        <v>15</v>
      </c>
      <c r="AE141" s="51" t="s">
        <v>16</v>
      </c>
      <c r="AF141" s="59" t="s">
        <v>333</v>
      </c>
      <c r="AG141" s="326" t="s">
        <v>334</v>
      </c>
      <c r="AH141" s="97" t="s">
        <v>15</v>
      </c>
      <c r="AI141" s="51" t="s">
        <v>16</v>
      </c>
      <c r="AJ141" s="59" t="s">
        <v>333</v>
      </c>
      <c r="AK141" s="326" t="s">
        <v>334</v>
      </c>
      <c r="AL141" s="97" t="s">
        <v>15</v>
      </c>
      <c r="AM141" s="51" t="s">
        <v>16</v>
      </c>
      <c r="AN141" s="59" t="s">
        <v>333</v>
      </c>
      <c r="AO141" s="56" t="s">
        <v>334</v>
      </c>
      <c r="AP141" s="97" t="s">
        <v>15</v>
      </c>
      <c r="AQ141" s="51" t="s">
        <v>16</v>
      </c>
      <c r="AR141" s="59" t="s">
        <v>333</v>
      </c>
      <c r="AS141" s="56" t="s">
        <v>334</v>
      </c>
      <c r="AT141" s="97" t="s">
        <v>15</v>
      </c>
      <c r="AU141" s="51" t="s">
        <v>16</v>
      </c>
      <c r="AV141" s="59" t="s">
        <v>333</v>
      </c>
      <c r="AW141" s="56" t="s">
        <v>334</v>
      </c>
      <c r="AX141" s="97" t="s">
        <v>15</v>
      </c>
      <c r="AY141" s="51" t="s">
        <v>16</v>
      </c>
      <c r="AZ141" s="59" t="s">
        <v>333</v>
      </c>
      <c r="BA141" s="56" t="s">
        <v>334</v>
      </c>
      <c r="BB141" s="97" t="s">
        <v>15</v>
      </c>
      <c r="BC141" s="51" t="s">
        <v>16</v>
      </c>
      <c r="BD141" t="s">
        <v>510</v>
      </c>
    </row>
    <row r="142" spans="1:57" s="45" customFormat="1">
      <c r="A142" s="1" t="s">
        <v>22</v>
      </c>
      <c r="B142" s="1" t="s">
        <v>23</v>
      </c>
      <c r="C142" s="1" t="s">
        <v>24</v>
      </c>
      <c r="D142" s="1" t="s">
        <v>25</v>
      </c>
      <c r="E142" s="4" t="s">
        <v>26</v>
      </c>
      <c r="F142" s="88">
        <f t="shared" ref="F142:F143" si="14">J142+N142+R142+V142+Z142+AD142+AH142+AL142+AX142+BB142</f>
        <v>0</v>
      </c>
      <c r="G142" s="98"/>
      <c r="H142" s="22"/>
      <c r="I142" s="16"/>
      <c r="J142" s="107"/>
      <c r="K142" s="78"/>
      <c r="L142" s="76"/>
      <c r="M142" s="11"/>
      <c r="N142" s="88"/>
      <c r="O142" s="78"/>
      <c r="P142" s="19"/>
      <c r="Q142" s="11"/>
      <c r="R142" s="88"/>
      <c r="S142" s="78"/>
      <c r="T142" s="19"/>
      <c r="U142" s="11"/>
      <c r="V142" s="88"/>
      <c r="W142" s="78"/>
      <c r="X142" s="76"/>
      <c r="Y142" s="11"/>
      <c r="Z142" s="107"/>
      <c r="AA142" s="78"/>
      <c r="AB142" s="76"/>
      <c r="AC142" s="11"/>
      <c r="AD142" s="88"/>
      <c r="AE142" s="78"/>
      <c r="AF142" s="76"/>
      <c r="AG142" s="323"/>
      <c r="AH142" s="88"/>
      <c r="AI142" s="78"/>
      <c r="AJ142" s="76"/>
      <c r="AK142" s="323"/>
      <c r="AL142" s="88"/>
      <c r="AM142" s="78"/>
      <c r="AN142" s="76"/>
      <c r="AO142" s="11"/>
      <c r="AP142" s="88"/>
      <c r="AQ142" s="78"/>
      <c r="AR142" s="76"/>
      <c r="AS142" s="11"/>
      <c r="AT142" s="88"/>
      <c r="AU142" s="78"/>
      <c r="AV142" s="76"/>
      <c r="AW142" s="11"/>
      <c r="AX142" s="88"/>
      <c r="AY142" s="78"/>
      <c r="AZ142" s="76"/>
      <c r="BA142" s="11"/>
      <c r="BB142" s="88"/>
      <c r="BC142" s="78"/>
    </row>
    <row r="143" spans="1:57" ht="16.5" thickBot="1">
      <c r="A143" s="3" t="s">
        <v>143</v>
      </c>
      <c r="B143" s="3" t="s">
        <v>245</v>
      </c>
      <c r="C143" s="202" t="s">
        <v>63</v>
      </c>
      <c r="D143" s="202" t="s">
        <v>476</v>
      </c>
      <c r="E143" s="5"/>
      <c r="F143" s="90">
        <f t="shared" si="14"/>
        <v>50</v>
      </c>
      <c r="G143" s="82"/>
      <c r="H143" s="32">
        <v>4.0999999999999996</v>
      </c>
      <c r="I143" s="18"/>
      <c r="J143" s="108"/>
      <c r="K143" s="86"/>
      <c r="L143" s="76">
        <v>4.0999999999999996</v>
      </c>
      <c r="M143" s="11"/>
      <c r="N143" s="90"/>
      <c r="O143" s="86"/>
      <c r="P143" s="19">
        <v>4.0999999999999996</v>
      </c>
      <c r="Q143" s="11"/>
      <c r="R143" s="90"/>
      <c r="S143" s="86"/>
      <c r="T143" s="19">
        <v>4.2</v>
      </c>
      <c r="U143" s="11"/>
      <c r="V143" s="90"/>
      <c r="W143" s="86"/>
      <c r="X143" s="76">
        <v>4.2</v>
      </c>
      <c r="Y143" s="11"/>
      <c r="Z143" s="108"/>
      <c r="AA143" s="86"/>
      <c r="AB143" s="76">
        <v>4.2</v>
      </c>
      <c r="AC143" s="11"/>
      <c r="AD143" s="90"/>
      <c r="AE143" s="86"/>
      <c r="AF143" s="76">
        <v>4.2</v>
      </c>
      <c r="AG143" s="322">
        <v>0.6</v>
      </c>
      <c r="AH143" s="90">
        <v>25</v>
      </c>
      <c r="AI143" s="86">
        <v>20</v>
      </c>
      <c r="AJ143" s="76">
        <v>4.3</v>
      </c>
      <c r="AK143" s="322">
        <v>0.62244999999999995</v>
      </c>
      <c r="AL143" s="90">
        <v>25</v>
      </c>
      <c r="AM143" s="86">
        <v>20</v>
      </c>
      <c r="AN143" s="76">
        <v>4.2</v>
      </c>
      <c r="AO143" s="11"/>
      <c r="AP143" s="90"/>
      <c r="AQ143" s="86"/>
      <c r="AR143" s="76">
        <v>4.3</v>
      </c>
      <c r="AS143" s="11"/>
      <c r="AT143" s="90"/>
      <c r="AU143" s="86"/>
      <c r="AV143" s="76">
        <v>4.2</v>
      </c>
      <c r="AW143" s="11"/>
      <c r="AX143" s="90"/>
      <c r="AY143" s="86"/>
      <c r="AZ143" s="76">
        <v>4.3</v>
      </c>
      <c r="BA143" s="11"/>
      <c r="BB143" s="90"/>
      <c r="BC143" s="86"/>
      <c r="BD143" s="279" t="s">
        <v>491</v>
      </c>
      <c r="BE143" t="str">
        <f>A143&amp;B143&amp;D143&amp;BD143&amp;$BD$141</f>
        <v>SophieGardinerToulandoSecondary &gt;9Medium</v>
      </c>
    </row>
    <row r="148" spans="3:48">
      <c r="AN148" s="9"/>
      <c r="AV148" s="9"/>
    </row>
    <row r="149" spans="3:48">
      <c r="AN149" s="9"/>
      <c r="AV149" s="9"/>
    </row>
    <row r="152" spans="3:48">
      <c r="C152" s="212"/>
      <c r="D152" s="212"/>
    </row>
    <row r="153" spans="3:48">
      <c r="C153" s="212"/>
      <c r="D153" s="212"/>
    </row>
    <row r="154" spans="3:48">
      <c r="C154" s="212"/>
    </row>
  </sheetData>
  <protectedRanges>
    <protectedRange algorithmName="SHA-512" hashValue="NAZD3qgxdrlzabacLBE6e7h5ZmXY7wxINVLTXmDWPfUES+YR2V1HNj/E15OhYFiJLVmWPKJ0egYjXUfTOKONZg==" saltValue="Ncxfyc7xk9aUc4+aZopcog==" spinCount="100000" sqref="A1:O7 A93:B93 A128:E130 A23:E23 D117 E8 E13 A22:B22 E46 A68:E72 A88:E92 A97:E97 D93:E93 E94 E10 A28:D28 E77:E78 A31:D32 A134:D135 E48:E50 A15:E16 A33:E34 A107:E113 A38:E42 E98:E101 E114:E121 A155:O1048576 E152:O154 A102:B102 D102:E102 A122:B122 D122:E122 E35:E37 E123:E127 D22:E22 A25:E27 E24 E17:E21 AL1:XFD2 Q1:R59 Q61:R67 R60 W1:AK7 U1:V59 U61:V67 V60 G68:W68 E103:E105 A144:O151 Y147:AE147 P147:V147 P152:XFD1048576 AV3:BC3 P144:XFD145 BF143:XFD143 BF131:XFD135 Q114:W121 BF114:XFD126 AL4:BC4 BD3:XFD5 AL7:AQ7 AL27:AM27 AL42:AM42 Q72:BC72 Q92:BC92 BF92:XFD105 BF72:XFD87 BF27:XFD68 W43:W67 AK136:AL138 E143:AF143 BF7:XFD22 AI8:AJ22 AI28:AJ37 AM28:AM37 AI43:AJ68 AI73:AJ87 G130:AL130 AV130:XFD130 AM130:AU131 AI143:AJ143 AM143:BC143 P146:AE146 P148:AE151 AF146:XFD151 X43:AF68 W38:AK42 Q93:AF108 D106:E106 W28:AF37 Q73:AF87 AL5:AM5 AS5:BC5 AL6:XFD6 Q69:XFD71 Q88:XFD89 Q109:XFD110 G127:XFD129 A139:XFD142 AR7:BC22 AM43:AM68 AL38:BD41 AM8:AQ22 AM73:BC87 AN27:BC37 Q112:XFD113 Q111:AM111 AS111:XFD111 F42:F135 Q91:XFD91 Q90:AM90 AS90:XFD90 G42:O67 G131:AF135 W8:AF22 AI114:AJ126 T122:W126 AV131:BC131 AL23:XFD26 AW136:XFD138 AW132:BC135 AS106:XFD108 AS105:BC105 AN42:BC68 AM93:BC104 AM105:AR108 AM114:BC126 AM132:AV138 AI131:AJ138 AI93:AJ108 X114:AF126 W23:AK27 S1:T67 P1:P67 G69:P126 F8:O41 E136:AF138" name="Range1"/>
    <protectedRange algorithmName="SHA-512" hashValue="Apnk9LEbYxRpSZcjU97H6doUg/5csDURqMcDtbiOpYdX3f6l5Yvzsxaqv13NMtippi1Z0/Pw9Etvtktb0idoXQ==" saltValue="0XBid9/n7HrDOp1hu6OxVA==" spinCount="100000" sqref="A8:D8" name="Range1_1"/>
    <protectedRange algorithmName="SHA-512" hashValue="Apnk9LEbYxRpSZcjU97H6doUg/5csDURqMcDtbiOpYdX3f6l5Yvzsxaqv13NMtippi1Z0/Pw9Etvtktb0idoXQ==" saltValue="0XBid9/n7HrDOp1hu6OxVA==" spinCount="100000" sqref="A73:D73" name="Range1_1_1"/>
    <protectedRange algorithmName="SHA-512" hashValue="Apnk9LEbYxRpSZcjU97H6doUg/5csDURqMcDtbiOpYdX3f6l5Yvzsxaqv13NMtippi1Z0/Pw9Etvtktb0idoXQ==" saltValue="0XBid9/n7HrDOp1hu6OxVA==" spinCount="100000" sqref="A131:D131" name="Range1_1_1_1"/>
    <protectedRange algorithmName="SHA-512" hashValue="Apnk9LEbYxRpSZcjU97H6doUg/5csDURqMcDtbiOpYdX3f6l5Yvzsxaqv13NMtippi1Z0/Pw9Etvtktb0idoXQ==" saltValue="0XBid9/n7HrDOp1hu6OxVA==" spinCount="100000" sqref="A43:B43 D43" name="Range1_4"/>
    <protectedRange algorithmName="SHA-512" hashValue="Apnk9LEbYxRpSZcjU97H6doUg/5csDURqMcDtbiOpYdX3f6l5Yvzsxaqv13NMtippi1Z0/Pw9Etvtktb0idoXQ==" saltValue="0XBid9/n7HrDOp1hu6OxVA==" spinCount="100000" sqref="C43" name="Range1_1_1_2"/>
    <protectedRange algorithmName="SHA-512" hashValue="Apnk9LEbYxRpSZcjU97H6doUg/5csDURqMcDtbiOpYdX3f6l5Yvzsxaqv13NMtippi1Z0/Pw9Etvtktb0idoXQ==" saltValue="0XBid9/n7HrDOp1hu6OxVA==" spinCount="100000" sqref="A74:B74 D74" name="Range1_5"/>
    <protectedRange algorithmName="SHA-512" hashValue="Apnk9LEbYxRpSZcjU97H6doUg/5csDURqMcDtbiOpYdX3f6l5Yvzsxaqv13NMtippi1Z0/Pw9Etvtktb0idoXQ==" saltValue="0XBid9/n7HrDOp1hu6OxVA==" spinCount="100000" sqref="C74 C93" name="Range1_1_1_3"/>
    <protectedRange algorithmName="SHA-512" hashValue="Apnk9LEbYxRpSZcjU97H6doUg/5csDURqMcDtbiOpYdX3f6l5Yvzsxaqv13NMtippi1Z0/Pw9Etvtktb0idoXQ==" saltValue="0XBid9/n7HrDOp1hu6OxVA==" spinCount="100000" sqref="A10:D10" name="Range1_6"/>
    <protectedRange algorithmName="SHA-512" hashValue="Apnk9LEbYxRpSZcjU97H6doUg/5csDURqMcDtbiOpYdX3f6l5Yvzsxaqv13NMtippi1Z0/Pw9Etvtktb0idoXQ==" saltValue="0XBid9/n7HrDOp1hu6OxVA==" spinCount="100000" sqref="A45:D45" name="Range1_7"/>
    <protectedRange algorithmName="SHA-512" hashValue="Apnk9LEbYxRpSZcjU97H6doUg/5csDURqMcDtbiOpYdX3f6l5Yvzsxaqv13NMtippi1Z0/Pw9Etvtktb0idoXQ==" saltValue="0XBid9/n7HrDOp1hu6OxVA==" spinCount="100000" sqref="A76:D76" name="Range1_8"/>
    <protectedRange algorithmName="SHA-512" hashValue="Apnk9LEbYxRpSZcjU97H6doUg/5csDURqMcDtbiOpYdX3f6l5Yvzsxaqv13NMtippi1Z0/Pw9Etvtktb0idoXQ==" saltValue="0XBid9/n7HrDOp1hu6OxVA==" spinCount="100000" sqref="A94:B94 D94" name="Range1_9"/>
    <protectedRange algorithmName="SHA-512" hashValue="Apnk9LEbYxRpSZcjU97H6doUg/5csDURqMcDtbiOpYdX3f6l5Yvzsxaqv13NMtippi1Z0/Pw9Etvtktb0idoXQ==" saltValue="0XBid9/n7HrDOp1hu6OxVA==" spinCount="100000" sqref="C94 C102 C122" name="Range1_1_1_4"/>
    <protectedRange algorithmName="SHA-512" hashValue="Apnk9LEbYxRpSZcjU97H6doUg/5csDURqMcDtbiOpYdX3f6l5Yvzsxaqv13NMtippi1Z0/Pw9Etvtktb0idoXQ==" saltValue="0XBid9/n7HrDOp1hu6OxVA==" spinCount="100000" sqref="A114:B114 D114" name="Range1_10"/>
    <protectedRange algorithmName="SHA-512" hashValue="Apnk9LEbYxRpSZcjU97H6doUg/5csDURqMcDtbiOpYdX3f6l5Yvzsxaqv13NMtippi1Z0/Pw9Etvtktb0idoXQ==" saltValue="0XBid9/n7HrDOp1hu6OxVA==" spinCount="100000" sqref="C114" name="Range1_1_1_5"/>
    <protectedRange algorithmName="SHA-512" hashValue="NAZD3qgxdrlzabacLBE6e7h5ZmXY7wxINVLTXmDWPfUES+YR2V1HNj/E15OhYFiJLVmWPKJ0egYjXUfTOKONZg==" saltValue="Ncxfyc7xk9aUc4+aZopcog==" spinCount="100000" sqref="D12" name="Range1_11"/>
    <protectedRange algorithmName="SHA-512" hashValue="NAZD3qgxdrlzabacLBE6e7h5ZmXY7wxINVLTXmDWPfUES+YR2V1HNj/E15OhYFiJLVmWPKJ0egYjXUfTOKONZg==" saltValue="Ncxfyc7xk9aUc4+aZopcog==" spinCount="100000" sqref="A12:C12" name="Range1_5_1"/>
    <protectedRange algorithmName="SHA-512" hashValue="NAZD3qgxdrlzabacLBE6e7h5ZmXY7wxINVLTXmDWPfUES+YR2V1HNj/E15OhYFiJLVmWPKJ0egYjXUfTOKONZg==" saltValue="Ncxfyc7xk9aUc4+aZopcog==" spinCount="100000" sqref="D29" name="Range1_12"/>
    <protectedRange algorithmName="SHA-512" hashValue="NAZD3qgxdrlzabacLBE6e7h5ZmXY7wxINVLTXmDWPfUES+YR2V1HNj/E15OhYFiJLVmWPKJ0egYjXUfTOKONZg==" saltValue="Ncxfyc7xk9aUc4+aZopcog==" spinCount="100000" sqref="A29:C29" name="Range1_5_2"/>
    <protectedRange algorithmName="SHA-512" hashValue="Apnk9LEbYxRpSZcjU97H6doUg/5csDURqMcDtbiOpYdX3f6l5Yvzsxaqv13NMtippi1Z0/Pw9Etvtktb0idoXQ==" saltValue="0XBid9/n7HrDOp1hu6OxVA==" spinCount="100000" sqref="A46:D46" name="Range1_13"/>
    <protectedRange algorithmName="SHA-512" hashValue="Apnk9LEbYxRpSZcjU97H6doUg/5csDURqMcDtbiOpYdX3f6l5Yvzsxaqv13NMtippi1Z0/Pw9Etvtktb0idoXQ==" saltValue="0XBid9/n7HrDOp1hu6OxVA==" spinCount="100000" sqref="A13:D13" name="Range1_14"/>
    <protectedRange algorithmName="SHA-512" hashValue="Apnk9LEbYxRpSZcjU97H6doUg/5csDURqMcDtbiOpYdX3f6l5Yvzsxaqv13NMtippi1Z0/Pw9Etvtktb0idoXQ==" saltValue="0XBid9/n7HrDOp1hu6OxVA==" spinCount="100000" sqref="A115:D115 A117:C117 A106:C106" name="Range1_15"/>
    <protectedRange algorithmName="SHA-512" hashValue="Apnk9LEbYxRpSZcjU97H6doUg/5csDURqMcDtbiOpYdX3f6l5Yvzsxaqv13NMtippi1Z0/Pw9Etvtktb0idoXQ==" saltValue="0XBid9/n7HrDOp1hu6OxVA==" spinCount="100000" sqref="A95:D95" name="Range1_2"/>
    <protectedRange algorithmName="SHA-512" hashValue="Apnk9LEbYxRpSZcjU97H6doUg/5csDURqMcDtbiOpYdX3f6l5Yvzsxaqv13NMtippi1Z0/Pw9Etvtktb0idoXQ==" saltValue="0XBid9/n7HrDOp1hu6OxVA==" spinCount="100000" sqref="A116:D116" name="Range1_3"/>
    <protectedRange algorithmName="SHA-512" hashValue="Apnk9LEbYxRpSZcjU97H6doUg/5csDURqMcDtbiOpYdX3f6l5Yvzsxaqv13NMtippi1Z0/Pw9Etvtktb0idoXQ==" saltValue="0XBid9/n7HrDOp1hu6OxVA==" spinCount="100000" sqref="A47:B47 D47" name="Range1_16"/>
    <protectedRange algorithmName="SHA-512" hashValue="Apnk9LEbYxRpSZcjU97H6doUg/5csDURqMcDtbiOpYdX3f6l5Yvzsxaqv13NMtippi1Z0/Pw9Etvtktb0idoXQ==" saltValue="0XBid9/n7HrDOp1hu6OxVA==" spinCount="100000" sqref="C47" name="Range1_1_1_6"/>
    <protectedRange algorithmName="SHA-512" hashValue="Apnk9LEbYxRpSZcjU97H6doUg/5csDURqMcDtbiOpYdX3f6l5Yvzsxaqv13NMtippi1Z0/Pw9Etvtktb0idoXQ==" saltValue="0XBid9/n7HrDOp1hu6OxVA==" spinCount="100000" sqref="A48:D48" name="Range1_17"/>
    <protectedRange algorithmName="SHA-512" hashValue="Apnk9LEbYxRpSZcjU97H6doUg/5csDURqMcDtbiOpYdX3f6l5Yvzsxaqv13NMtippi1Z0/Pw9Etvtktb0idoXQ==" saltValue="0XBid9/n7HrDOp1hu6OxVA==" spinCount="100000" sqref="A77:D77" name="Range1_18"/>
    <protectedRange algorithmName="SHA-512" hashValue="NAZD3qgxdrlzabacLBE6e7h5ZmXY7wxINVLTXmDWPfUES+YR2V1HNj/E15OhYFiJLVmWPKJ0egYjXUfTOKONZg==" saltValue="Ncxfyc7xk9aUc4+aZopcog==" spinCount="100000" sqref="D49:D50" name="Range1_19"/>
    <protectedRange algorithmName="SHA-512" hashValue="Apnk9LEbYxRpSZcjU97H6doUg/5csDURqMcDtbiOpYdX3f6l5Yvzsxaqv13NMtippi1Z0/Pw9Etvtktb0idoXQ==" saltValue="0XBid9/n7HrDOp1hu6OxVA==" spinCount="100000" sqref="A49:C50" name="Range1_10_1"/>
    <protectedRange algorithmName="SHA-512" hashValue="NAZD3qgxdrlzabacLBE6e7h5ZmXY7wxINVLTXmDWPfUES+YR2V1HNj/E15OhYFiJLVmWPKJ0egYjXUfTOKONZg==" saltValue="Ncxfyc7xk9aUc4+aZopcog==" spinCount="100000" sqref="D78" name="Range1_20"/>
    <protectedRange algorithmName="SHA-512" hashValue="Apnk9LEbYxRpSZcjU97H6doUg/5csDURqMcDtbiOpYdX3f6l5Yvzsxaqv13NMtippi1Z0/Pw9Etvtktb0idoXQ==" saltValue="0XBid9/n7HrDOp1hu6OxVA==" spinCount="100000" sqref="A78:C78" name="Range1_10_2"/>
    <protectedRange algorithmName="SHA-512" hashValue="Apnk9LEbYxRpSZcjU97H6doUg/5csDURqMcDtbiOpYdX3f6l5Yvzsxaqv13NMtippi1Z0/Pw9Etvtktb0idoXQ==" saltValue="0XBid9/n7HrDOp1hu6OxVA==" spinCount="100000" sqref="A51:B51 D51" name="Range1_21"/>
    <protectedRange algorithmName="SHA-512" hashValue="Apnk9LEbYxRpSZcjU97H6doUg/5csDURqMcDtbiOpYdX3f6l5Yvzsxaqv13NMtippi1Z0/Pw9Etvtktb0idoXQ==" saltValue="0XBid9/n7HrDOp1hu6OxVA==" spinCount="100000" sqref="C51" name="Range1_10_1_1"/>
    <protectedRange algorithmName="SHA-512" hashValue="Apnk9LEbYxRpSZcjU97H6doUg/5csDURqMcDtbiOpYdX3f6l5Yvzsxaqv13NMtippi1Z0/Pw9Etvtktb0idoXQ==" saltValue="0XBid9/n7HrDOp1hu6OxVA==" spinCount="100000" sqref="A14:B14 D14" name="Range1_22"/>
    <protectedRange algorithmName="SHA-512" hashValue="Apnk9LEbYxRpSZcjU97H6doUg/5csDURqMcDtbiOpYdX3f6l5Yvzsxaqv13NMtippi1Z0/Pw9Etvtktb0idoXQ==" saltValue="0XBid9/n7HrDOp1hu6OxVA==" spinCount="100000" sqref="C14 C22" name="Range1_10_3"/>
    <protectedRange algorithmName="SHA-512" hashValue="Apnk9LEbYxRpSZcjU97H6doUg/5csDURqMcDtbiOpYdX3f6l5Yvzsxaqv13NMtippi1Z0/Pw9Etvtktb0idoXQ==" saltValue="0XBid9/n7HrDOp1hu6OxVA==" spinCount="100000" sqref="A30:B30 D30" name="Range1_23"/>
    <protectedRange algorithmName="SHA-512" hashValue="Apnk9LEbYxRpSZcjU97H6doUg/5csDURqMcDtbiOpYdX3f6l5Yvzsxaqv13NMtippi1Z0/Pw9Etvtktb0idoXQ==" saltValue="0XBid9/n7HrDOp1hu6OxVA==" spinCount="100000" sqref="C30" name="Range1_10_4"/>
    <protectedRange algorithmName="SHA-512" hashValue="Apnk9LEbYxRpSZcjU97H6doUg/5csDURqMcDtbiOpYdX3f6l5Yvzsxaqv13NMtippi1Z0/Pw9Etvtktb0idoXQ==" saltValue="0XBid9/n7HrDOp1hu6OxVA==" spinCount="100000" sqref="A96:B96 D96" name="Range1_24"/>
    <protectedRange algorithmName="SHA-512" hashValue="Apnk9LEbYxRpSZcjU97H6doUg/5csDURqMcDtbiOpYdX3f6l5Yvzsxaqv13NMtippi1Z0/Pw9Etvtktb0idoXQ==" saltValue="0XBid9/n7HrDOp1hu6OxVA==" spinCount="100000" sqref="C96" name="Range1_1_1_7"/>
    <protectedRange algorithmName="SHA-512" hashValue="Apnk9LEbYxRpSZcjU97H6doUg/5csDURqMcDtbiOpYdX3f6l5Yvzsxaqv13NMtippi1Z0/Pw9Etvtktb0idoXQ==" saltValue="0XBid9/n7HrDOp1hu6OxVA==" spinCount="100000" sqref="E9" name="Range1_25"/>
    <protectedRange algorithmName="SHA-512" hashValue="gd6M1j8R2Vcbfm85n99c1D0xjmQvjBlg34UZhxeJx1NLSFqB74OeW1e3isf5ACnAc8NEYyF7OwgEUMDCcurwNA==" saltValue="t3zYNUJUDTdmjGFelNhf8w==" spinCount="100000" sqref="E73" name="Range1_26"/>
    <protectedRange algorithmName="SHA-512" hashValue="gd6M1j8R2Vcbfm85n99c1D0xjmQvjBlg34UZhxeJx1NLSFqB74OeW1e3isf5ACnAc8NEYyF7OwgEUMDCcurwNA==" saltValue="t3zYNUJUDTdmjGFelNhf8w==" spinCount="100000" sqref="E131" name="Range1_27"/>
    <protectedRange algorithmName="SHA-512" hashValue="NAZD3qgxdrlzabacLBE6e7h5ZmXY7wxINVLTXmDWPfUES+YR2V1HNj/E15OhYFiJLVmWPKJ0egYjXUfTOKONZg==" saltValue="Ncxfyc7xk9aUc4+aZopcog==" spinCount="100000" sqref="E43" name="Range1_28"/>
    <protectedRange algorithmName="SHA-512" hashValue="NAZD3qgxdrlzabacLBE6e7h5ZmXY7wxINVLTXmDWPfUES+YR2V1HNj/E15OhYFiJLVmWPKJ0egYjXUfTOKONZg==" saltValue="Ncxfyc7xk9aUc4+aZopcog==" spinCount="100000" sqref="E74" name="Range1_29"/>
    <protectedRange algorithmName="SHA-512" hashValue="Bl55MZj0cAqUqTsmKqKQ8GjYk3z4r6sHC6GjzmBjr6bDBl+Gt4qfajFFbigrPAXyjSmBZ+XipVR00qWHQUUL2w==" saltValue="vFo3gsO1ur+Yqg/JT+qeQg==" spinCount="100000" sqref="E44" name="Range1_30"/>
    <protectedRange algorithmName="SHA-512" hashValue="Bl55MZj0cAqUqTsmKqKQ8GjYk3z4r6sHC6GjzmBjr6bDBl+Gt4qfajFFbigrPAXyjSmBZ+XipVR00qWHQUUL2w==" saltValue="vFo3gsO1ur+Yqg/JT+qeQg==" spinCount="100000" sqref="E75" name="Range1_31"/>
    <protectedRange algorithmName="SHA-512" hashValue="NAZD3qgxdrlzabacLBE6e7h5ZmXY7wxINVLTXmDWPfUES+YR2V1HNj/E15OhYFiJLVmWPKJ0egYjXUfTOKONZg==" saltValue="Ncxfyc7xk9aUc4+aZopcog==" spinCount="100000" sqref="E45" name="Range1_32"/>
    <protectedRange algorithmName="SHA-512" hashValue="NAZD3qgxdrlzabacLBE6e7h5ZmXY7wxINVLTXmDWPfUES+YR2V1HNj/E15OhYFiJLVmWPKJ0egYjXUfTOKONZg==" saltValue="Ncxfyc7xk9aUc4+aZopcog==" spinCount="100000" sqref="E76" name="Range1_33"/>
    <protectedRange algorithmName="SHA-512" hashValue="NAZD3qgxdrlzabacLBE6e7h5ZmXY7wxINVLTXmDWPfUES+YR2V1HNj/E15OhYFiJLVmWPKJ0egYjXUfTOKONZg==" saltValue="Ncxfyc7xk9aUc4+aZopcog==" spinCount="100000" sqref="E11" name="Range1_34"/>
    <protectedRange algorithmName="SHA-512" hashValue="NAZD3qgxdrlzabacLBE6e7h5ZmXY7wxINVLTXmDWPfUES+YR2V1HNj/E15OhYFiJLVmWPKJ0egYjXUfTOKONZg==" saltValue="Ncxfyc7xk9aUc4+aZopcog==" spinCount="100000" sqref="E12" name="Range1_35"/>
    <protectedRange algorithmName="SHA-512" hashValue="NAZD3qgxdrlzabacLBE6e7h5ZmXY7wxINVLTXmDWPfUES+YR2V1HNj/E15OhYFiJLVmWPKJ0egYjXUfTOKONZg==" saltValue="Ncxfyc7xk9aUc4+aZopcog==" spinCount="100000" sqref="E28" name="Range1_36"/>
    <protectedRange algorithmName="SHA-512" hashValue="NAZD3qgxdrlzabacLBE6e7h5ZmXY7wxINVLTXmDWPfUES+YR2V1HNj/E15OhYFiJLVmWPKJ0egYjXUfTOKONZg==" saltValue="Ncxfyc7xk9aUc4+aZopcog==" spinCount="100000" sqref="E29" name="Range1_37"/>
    <protectedRange algorithmName="SHA-512" hashValue="gd6M1j8R2Vcbfm85n99c1D0xjmQvjBlg34UZhxeJx1NLSFqB74OeW1e3isf5ACnAc8NEYyF7OwgEUMDCcurwNA==" saltValue="t3zYNUJUDTdmjGFelNhf8w==" spinCount="100000" sqref="E95" name="Range1_38"/>
    <protectedRange algorithmName="SHA-512" hashValue="gd6M1j8R2Vcbfm85n99c1D0xjmQvjBlg34UZhxeJx1NLSFqB74OeW1e3isf5ACnAc8NEYyF7OwgEUMDCcurwNA==" saltValue="t3zYNUJUDTdmjGFelNhf8w==" spinCount="100000" sqref="E47" name="Range1_39"/>
    <protectedRange algorithmName="SHA-512" hashValue="gd6M1j8R2Vcbfm85n99c1D0xjmQvjBlg34UZhxeJx1NLSFqB74OeW1e3isf5ACnAc8NEYyF7OwgEUMDCcurwNA==" saltValue="t3zYNUJUDTdmjGFelNhf8w==" spinCount="100000" sqref="E14" name="Range1_40"/>
    <protectedRange algorithmName="SHA-512" hashValue="gd6M1j8R2Vcbfm85n99c1D0xjmQvjBlg34UZhxeJx1NLSFqB74OeW1e3isf5ACnAc8NEYyF7OwgEUMDCcurwNA==" saltValue="t3zYNUJUDTdmjGFelNhf8w==" spinCount="100000" sqref="E30:E32 E134:E135" name="Range1_41"/>
    <protectedRange algorithmName="SHA-512" hashValue="Bl55MZj0cAqUqTsmKqKQ8GjYk3z4r6sHC6GjzmBjr6bDBl+Gt4qfajFFbigrPAXyjSmBZ+XipVR00qWHQUUL2w==" saltValue="vFo3gsO1ur+Yqg/JT+qeQg==" spinCount="100000" sqref="E66 E51" name="Range1_42"/>
    <protectedRange algorithmName="SHA-512" hashValue="NAZD3qgxdrlzabacLBE6e7h5ZmXY7wxINVLTXmDWPfUES+YR2V1HNj/E15OhYFiJLVmWPKJ0egYjXUfTOKONZg==" saltValue="Ncxfyc7xk9aUc4+aZopcog==" spinCount="100000" sqref="E96" name="Range1_43"/>
    <protectedRange algorithmName="SHA-512" hashValue="Apnk9LEbYxRpSZcjU97H6doUg/5csDURqMcDtbiOpYdX3f6l5Yvzsxaqv13NMtippi1Z0/Pw9Etvtktb0idoXQ==" saltValue="0XBid9/n7HrDOp1hu6OxVA==" spinCount="100000" sqref="E67 A54:E55 E87 A132:E132 A79:E79 E133 E56:E65 E80:E84 A82:D82" name="Range1_44"/>
    <protectedRange algorithmName="SHA-512" hashValue="Apnk9LEbYxRpSZcjU97H6doUg/5csDURqMcDtbiOpYdX3f6l5Yvzsxaqv13NMtippi1Z0/Pw9Etvtktb0idoXQ==" saltValue="0XBid9/n7HrDOp1hu6OxVA==" spinCount="100000" sqref="E85:E86 A81:D81" name="Range1_45"/>
    <protectedRange algorithmName="SHA-512" hashValue="Apnk9LEbYxRpSZcjU97H6doUg/5csDURqMcDtbiOpYdX3f6l5Yvzsxaqv13NMtippi1Z0/Pw9Etvtktb0idoXQ==" saltValue="0XBid9/n7HrDOp1hu6OxVA==" spinCount="100000" sqref="D57" name="Range1_46"/>
    <protectedRange algorithmName="SHA-512" hashValue="Apnk9LEbYxRpSZcjU97H6doUg/5csDURqMcDtbiOpYdX3f6l5Yvzsxaqv13NMtippi1Z0/Pw9Etvtktb0idoXQ==" saltValue="0XBid9/n7HrDOp1hu6OxVA==" spinCount="100000" sqref="A98:D98 A118:D118" name="Range1_47"/>
    <protectedRange algorithmName="SHA-512" hashValue="Apnk9LEbYxRpSZcjU97H6doUg/5csDURqMcDtbiOpYdX3f6l5Yvzsxaqv13NMtippi1Z0/Pw9Etvtktb0idoXQ==" saltValue="0XBid9/n7HrDOp1hu6OxVA==" spinCount="100000" sqref="A17:D17" name="Range1_48"/>
    <protectedRange algorithmName="SHA-512" hashValue="Apnk9LEbYxRpSZcjU97H6doUg/5csDURqMcDtbiOpYdX3f6l5Yvzsxaqv13NMtippi1Z0/Pw9Etvtktb0idoXQ==" saltValue="0XBid9/n7HrDOp1hu6OxVA==" spinCount="100000" sqref="A119:C119" name="Range1_49"/>
    <protectedRange algorithmName="SHA-512" hashValue="NAZD3qgxdrlzabacLBE6e7h5ZmXY7wxINVLTXmDWPfUES+YR2V1HNj/E15OhYFiJLVmWPKJ0egYjXUfTOKONZg==" saltValue="Ncxfyc7xk9aUc4+aZopcog==" spinCount="100000" sqref="D119" name="Range1_1_2"/>
    <protectedRange algorithmName="SHA-512" hashValue="Apnk9LEbYxRpSZcjU97H6doUg/5csDURqMcDtbiOpYdX3f6l5Yvzsxaqv13NMtippi1Z0/Pw9Etvtktb0idoXQ==" saltValue="0XBid9/n7HrDOp1hu6OxVA==" spinCount="100000" sqref="A58:D58" name="Range1_50"/>
    <protectedRange algorithmName="SHA-512" hashValue="Apnk9LEbYxRpSZcjU97H6doUg/5csDURqMcDtbiOpYdX3f6l5Yvzsxaqv13NMtippi1Z0/Pw9Etvtktb0idoXQ==" saltValue="0XBid9/n7HrDOp1hu6OxVA==" spinCount="100000" sqref="A18:D18" name="Range1_51"/>
    <protectedRange algorithmName="SHA-512" hashValue="Apnk9LEbYxRpSZcjU97H6doUg/5csDURqMcDtbiOpYdX3f6l5Yvzsxaqv13NMtippi1Z0/Pw9Etvtktb0idoXQ==" saltValue="0XBid9/n7HrDOp1hu6OxVA==" spinCount="100000" sqref="A36:D36" name="Range1_52"/>
    <protectedRange algorithmName="SHA-512" hashValue="Apnk9LEbYxRpSZcjU97H6doUg/5csDURqMcDtbiOpYdX3f6l5Yvzsxaqv13NMtippi1Z0/Pw9Etvtktb0idoXQ==" saltValue="0XBid9/n7HrDOp1hu6OxVA==" spinCount="100000" sqref="A19:D19" name="Range1_53"/>
    <protectedRange algorithmName="SHA-512" hashValue="Apnk9LEbYxRpSZcjU97H6doUg/5csDURqMcDtbiOpYdX3f6l5Yvzsxaqv13NMtippi1Z0/Pw9Etvtktb0idoXQ==" saltValue="0XBid9/n7HrDOp1hu6OxVA==" spinCount="100000" sqref="A37:D37" name="Range1_54"/>
    <protectedRange algorithmName="SHA-512" hashValue="Apnk9LEbYxRpSZcjU97H6doUg/5csDURqMcDtbiOpYdX3f6l5Yvzsxaqv13NMtippi1Z0/Pw9Etvtktb0idoXQ==" saltValue="0XBid9/n7HrDOp1hu6OxVA==" spinCount="100000" sqref="A52:E52 E53" name="Range1_55"/>
    <protectedRange algorithmName="SHA-512" hashValue="Apnk9LEbYxRpSZcjU97H6doUg/5csDURqMcDtbiOpYdX3f6l5Yvzsxaqv13NMtippi1Z0/Pw9Etvtktb0idoXQ==" saltValue="0XBid9/n7HrDOp1hu6OxVA==" spinCount="100000" sqref="A99:D99" name="Range1_56"/>
    <protectedRange algorithmName="SHA-512" hashValue="Apnk9LEbYxRpSZcjU97H6doUg/5csDURqMcDtbiOpYdX3f6l5Yvzsxaqv13NMtippi1Z0/Pw9Etvtktb0idoXQ==" saltValue="0XBid9/n7HrDOp1hu6OxVA==" spinCount="100000" sqref="A120:D120" name="Range1_57"/>
    <protectedRange algorithmName="SHA-512" hashValue="Apnk9LEbYxRpSZcjU97H6doUg/5csDURqMcDtbiOpYdX3f6l5Yvzsxaqv13NMtippi1Z0/Pw9Etvtktb0idoXQ==" saltValue="0XBid9/n7HrDOp1hu6OxVA==" spinCount="100000" sqref="A53:B53 D53" name="Range1_58"/>
    <protectedRange algorithmName="SHA-512" hashValue="Apnk9LEbYxRpSZcjU97H6doUg/5csDURqMcDtbiOpYdX3f6l5Yvzsxaqv13NMtippi1Z0/Pw9Etvtktb0idoXQ==" saltValue="0XBid9/n7HrDOp1hu6OxVA==" spinCount="100000" sqref="C53" name="Range1_1_1_8"/>
    <protectedRange algorithmName="SHA-512" hashValue="Apnk9LEbYxRpSZcjU97H6doUg/5csDURqMcDtbiOpYdX3f6l5Yvzsxaqv13NMtippi1Z0/Pw9Etvtktb0idoXQ==" saltValue="0XBid9/n7HrDOp1hu6OxVA==" spinCount="100000" sqref="A133:D133 A124:D127 A105:D105 A143:D143 A136:D138" name="Range1_59"/>
    <protectedRange algorithmName="SHA-512" hashValue="Apnk9LEbYxRpSZcjU97H6doUg/5csDURqMcDtbiOpYdX3f6l5Yvzsxaqv13NMtippi1Z0/Pw9Etvtktb0idoXQ==" saltValue="0XBid9/n7HrDOp1hu6OxVA==" spinCount="100000" sqref="A21:D21 A35:D35" name="Range1_60"/>
    <protectedRange algorithmName="SHA-512" hashValue="NAZD3qgxdrlzabacLBE6e7h5ZmXY7wxINVLTXmDWPfUES+YR2V1HNj/E15OhYFiJLVmWPKJ0egYjXUfTOKONZg==" saltValue="Ncxfyc7xk9aUc4+aZopcog==" spinCount="100000" sqref="A56:D56" name="Range1_61"/>
    <protectedRange algorithmName="SHA-512" hashValue="NAZD3qgxdrlzabacLBE6e7h5ZmXY7wxINVLTXmDWPfUES+YR2V1HNj/E15OhYFiJLVmWPKJ0egYjXUfTOKONZg==" saltValue="Ncxfyc7xk9aUc4+aZopcog==" spinCount="100000" sqref="A80:D80" name="Range1_62"/>
    <protectedRange algorithmName="SHA-512" hashValue="Apnk9LEbYxRpSZcjU97H6doUg/5csDURqMcDtbiOpYdX3f6l5Yvzsxaqv13NMtippi1Z0/Pw9Etvtktb0idoXQ==" saltValue="0XBid9/n7HrDOp1hu6OxVA==" spinCount="100000" sqref="A100:D101 A121:D121" name="Range1_63"/>
    <protectedRange algorithmName="SHA-512" hashValue="Apnk9LEbYxRpSZcjU97H6doUg/5csDURqMcDtbiOpYdX3f6l5Yvzsxaqv13NMtippi1Z0/Pw9Etvtktb0idoXQ==" saltValue="0XBid9/n7HrDOp1hu6OxVA==" spinCount="100000" sqref="A152:D153 C154 A83:D83 A59:D60 C67 A66:D66 A65:C65" name="Range1_64"/>
    <protectedRange algorithmName="SHA-512" hashValue="gd6M1j8R2Vcbfm85n99c1D0xjmQvjBlg34UZhxeJx1NLSFqB74OeW1e3isf5ACnAc8NEYyF7OwgEUMDCcurwNA==" saltValue="t3zYNUJUDTdmjGFelNhf8w==" spinCount="100000" sqref="A103:D103" name="Range1_65"/>
    <protectedRange algorithmName="SHA-512" hashValue="gd6M1j8R2Vcbfm85n99c1D0xjmQvjBlg34UZhxeJx1NLSFqB74OeW1e3isf5ACnAc8NEYyF7OwgEUMDCcurwNA==" saltValue="t3zYNUJUDTdmjGFelNhf8w==" spinCount="100000" sqref="A123:D123" name="Range1_66"/>
    <protectedRange algorithmName="SHA-512" hashValue="Apnk9LEbYxRpSZcjU97H6doUg/5csDURqMcDtbiOpYdX3f6l5Yvzsxaqv13NMtippi1Z0/Pw9Etvtktb0idoXQ==" saltValue="0XBid9/n7HrDOp1hu6OxVA==" spinCount="100000" sqref="C104" name="Range1_67"/>
    <protectedRange algorithmName="SHA-512" hashValue="gd6M1j8R2Vcbfm85n99c1D0xjmQvjBlg34UZhxeJx1NLSFqB74OeW1e3isf5ACnAc8NEYyF7OwgEUMDCcurwNA==" saltValue="t3zYNUJUDTdmjGFelNhf8w==" spinCount="100000" sqref="A104:B104 D104" name="Range1_32_1"/>
    <protectedRange algorithmName="SHA-512" hashValue="Apnk9LEbYxRpSZcjU97H6doUg/5csDURqMcDtbiOpYdX3f6l5Yvzsxaqv13NMtippi1Z0/Pw9Etvtktb0idoXQ==" saltValue="0XBid9/n7HrDOp1hu6OxVA==" spinCount="100000" sqref="C61:C63 C87 C84:C85" name="Range1_68"/>
    <protectedRange algorithmName="SHA-512" hashValue="Apnk9LEbYxRpSZcjU97H6doUg/5csDURqMcDtbiOpYdX3f6l5Yvzsxaqv13NMtippi1Z0/Pw9Etvtktb0idoXQ==" saltValue="0XBid9/n7HrDOp1hu6OxVA==" spinCount="100000" sqref="A20:D20" name="Range1_24_1"/>
    <protectedRange algorithmName="SHA-512" hashValue="Apnk9LEbYxRpSZcjU97H6doUg/5csDURqMcDtbiOpYdX3f6l5Yvzsxaqv13NMtippi1Z0/Pw9Etvtktb0idoXQ==" saltValue="0XBid9/n7HrDOp1hu6OxVA==" spinCount="100000" sqref="C64 C86" name="Range1_68_1"/>
    <protectedRange algorithmName="SHA-512" hashValue="Apnk9LEbYxRpSZcjU97H6doUg/5csDURqMcDtbiOpYdX3f6l5Yvzsxaqv13NMtippi1Z0/Pw9Etvtktb0idoXQ==" saltValue="0XBid9/n7HrDOp1hu6OxVA==" spinCount="100000" sqref="AH8:AH22 AH28:AH37 AH43:AH68 AH73:AH87 AH93:AH108 AH114:AH126 AH131:AH138 AH143 AL8:AL22 AL28:AL37 AL43:AL68 AL73:AL87 AL93:AL108 AL114:AL126 AL131:AL135 AL143" name="Range1_69"/>
    <protectedRange algorithmName="SHA-512" hashValue="gd6M1j8R2Vcbfm85n99c1D0xjmQvjBlg34UZhxeJx1NLSFqB74OeW1e3isf5ACnAc8NEYyF7OwgEUMDCcurwNA==" saltValue="t3zYNUJUDTdmjGFelNhf8w==" spinCount="100000" sqref="AG8:AG22 AG28:AG37 AG43:AG68 AG73:AG87 AG93:AG105 AG114:AG126 AG131:AG135 AG143 AK8:AK22 AK28:AK37 AK43:AK68 AK73:AK87 AK93:AK108 AK114:AK126 AK131:AK135 AK143 AG137:AG138 AG107:AG108" name="Range1_36_1"/>
    <protectedRange algorithmName="SHA-512" hashValue="gd6M1j8R2Vcbfm85n99c1D0xjmQvjBlg34UZhxeJx1NLSFqB74OeW1e3isf5ACnAc8NEYyF7OwgEUMDCcurwNA==" saltValue="t3zYNUJUDTdmjGFelNhf8w==" spinCount="100000" sqref="BD143 BD131:BD135 BD114:BD126 BD92:BD105" name="Range1_45_1"/>
    <protectedRange algorithmName="SHA-512" hashValue="gd6M1j8R2Vcbfm85n99c1D0xjmQvjBlg34UZhxeJx1NLSFqB74OeW1e3isf5ACnAc8NEYyF7OwgEUMDCcurwNA==" saltValue="t3zYNUJUDTdmjGFelNhf8w==" spinCount="100000" sqref="BD7:BD22 BD27:BD37" name="Range1_51_1"/>
    <protectedRange algorithmName="SHA-512" hashValue="gd6M1j8R2Vcbfm85n99c1D0xjmQvjBlg34UZhxeJx1NLSFqB74OeW1e3isf5ACnAc8NEYyF7OwgEUMDCcurwNA==" saltValue="t3zYNUJUDTdmjGFelNhf8w==" spinCount="100000" sqref="BD42:BD68 BD72:BD87" name="Range1_39_1"/>
    <protectedRange algorithmName="SHA-512" hashValue="gd6M1j8R2Vcbfm85n99c1D0xjmQvjBlg34UZhxeJx1NLSFqB74OeW1e3isf5ACnAc8NEYyF7OwgEUMDCcurwNA==" saltValue="t3zYNUJUDTdmjGFelNhf8w==" spinCount="100000" sqref="A11:B11" name="Range1_70"/>
    <protectedRange algorithmName="SHA-512" hashValue="gd6M1j8R2Vcbfm85n99c1D0xjmQvjBlg34UZhxeJx1NLSFqB74OeW1e3isf5ACnAc8NEYyF7OwgEUMDCcurwNA==" saltValue="t3zYNUJUDTdmjGFelNhf8w==" spinCount="100000" sqref="C11:D11" name="Range1_71"/>
    <protectedRange algorithmName="SHA-512" hashValue="Apnk9LEbYxRpSZcjU97H6doUg/5csDURqMcDtbiOpYdX3f6l5Yvzsxaqv13NMtippi1Z0/Pw9Etvtktb0idoXQ==" saltValue="0XBid9/n7HrDOp1hu6OxVA==" spinCount="100000" sqref="AN5:AR5 AN111:AR111 AN90:AR90" name="Range1_72"/>
    <protectedRange algorithmName="SHA-512" hashValue="gd6M1j8R2Vcbfm85n99c1D0xjmQvjBlg34UZhxeJx1NLSFqB74OeW1e3isf5ACnAc8NEYyF7OwgEUMDCcurwNA==" saltValue="t3zYNUJUDTdmjGFelNhf8w==" spinCount="100000" sqref="AG136" name="Range1_73"/>
    <protectedRange algorithmName="SHA-512" hashValue="gd6M1j8R2Vcbfm85n99c1D0xjmQvjBlg34UZhxeJx1NLSFqB74OeW1e3isf5ACnAc8NEYyF7OwgEUMDCcurwNA==" saltValue="t3zYNUJUDTdmjGFelNhf8w==" spinCount="100000" sqref="AG106" name="Range1_74"/>
  </protectedRanges>
  <mergeCells count="57">
    <mergeCell ref="AN90:AU90"/>
    <mergeCell ref="AN111:AU111"/>
    <mergeCell ref="AN128:AU128"/>
    <mergeCell ref="AN140:AU140"/>
    <mergeCell ref="AN5:AU5"/>
    <mergeCell ref="AN25:AU25"/>
    <mergeCell ref="AN40:AU40"/>
    <mergeCell ref="AN70:AU70"/>
    <mergeCell ref="AV111:BC111"/>
    <mergeCell ref="AV128:BC128"/>
    <mergeCell ref="AV140:BC140"/>
    <mergeCell ref="H5:O5"/>
    <mergeCell ref="H25:O25"/>
    <mergeCell ref="H40:O40"/>
    <mergeCell ref="H70:O70"/>
    <mergeCell ref="H90:O90"/>
    <mergeCell ref="H111:O111"/>
    <mergeCell ref="H128:O128"/>
    <mergeCell ref="H140:O140"/>
    <mergeCell ref="AV5:BC5"/>
    <mergeCell ref="AV25:BC25"/>
    <mergeCell ref="AV40:BC40"/>
    <mergeCell ref="AV70:BC70"/>
    <mergeCell ref="AV90:BC90"/>
    <mergeCell ref="X5:AE5"/>
    <mergeCell ref="AF5:AM5"/>
    <mergeCell ref="P5:W5"/>
    <mergeCell ref="P70:W70"/>
    <mergeCell ref="X70:AE70"/>
    <mergeCell ref="AF70:AM70"/>
    <mergeCell ref="P40:W40"/>
    <mergeCell ref="X40:AE40"/>
    <mergeCell ref="AF40:AM40"/>
    <mergeCell ref="P25:W25"/>
    <mergeCell ref="X25:AE25"/>
    <mergeCell ref="AF25:AM25"/>
    <mergeCell ref="P90:W90"/>
    <mergeCell ref="A71:E71"/>
    <mergeCell ref="X90:AE90"/>
    <mergeCell ref="AF90:AM90"/>
    <mergeCell ref="P140:W140"/>
    <mergeCell ref="X140:AE140"/>
    <mergeCell ref="AF140:AM140"/>
    <mergeCell ref="P111:W111"/>
    <mergeCell ref="X111:AE111"/>
    <mergeCell ref="AF111:AM111"/>
    <mergeCell ref="P128:W128"/>
    <mergeCell ref="X128:AE128"/>
    <mergeCell ref="AF128:AM128"/>
    <mergeCell ref="A91:E91"/>
    <mergeCell ref="A112:E112"/>
    <mergeCell ref="A129:E129"/>
    <mergeCell ref="A141:E141"/>
    <mergeCell ref="A3:D3"/>
    <mergeCell ref="A26:E26"/>
    <mergeCell ref="A6:E6"/>
    <mergeCell ref="A41:E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9CC8-2E0D-410F-ADE6-5EDC4FFB2192}">
  <dimension ref="A1:AS82"/>
  <sheetViews>
    <sheetView zoomScale="50" zoomScaleNormal="50" workbookViewId="0">
      <pane xSplit="5" ySplit="3" topLeftCell="F4" activePane="bottomRight" state="frozen"/>
      <selection pane="topRight" activeCell="F1" sqref="F1"/>
      <selection pane="bottomLeft" activeCell="A4" sqref="A4"/>
      <selection pane="bottomRight" activeCell="AA46" sqref="AA46"/>
    </sheetView>
  </sheetViews>
  <sheetFormatPr defaultRowHeight="15.75"/>
  <cols>
    <col min="1" max="1" width="14.25" bestFit="1" customWidth="1"/>
    <col min="4" max="4" width="14.5" customWidth="1"/>
    <col min="13" max="13" width="9.75" bestFit="1" customWidth="1"/>
    <col min="14" max="14" width="9.625" bestFit="1" customWidth="1"/>
    <col min="15" max="15" width="10.375" bestFit="1" customWidth="1"/>
    <col min="16" max="16" width="11.25" bestFit="1" customWidth="1"/>
    <col min="17" max="17" width="9.625" bestFit="1" customWidth="1"/>
    <col min="18" max="18" width="10.375" bestFit="1" customWidth="1"/>
    <col min="19" max="19" width="11.25" bestFit="1" customWidth="1"/>
    <col min="20" max="20" width="10.25" bestFit="1" customWidth="1"/>
    <col min="21" max="21" width="11" bestFit="1" customWidth="1"/>
    <col min="22" max="22" width="10" bestFit="1" customWidth="1"/>
    <col min="42" max="43" width="6.875" customWidth="1"/>
    <col min="44" max="44" width="6.5" customWidth="1"/>
    <col min="45" max="45" width="6.875" customWidth="1"/>
  </cols>
  <sheetData>
    <row r="1" spans="1:45" ht="42" customHeight="1"/>
    <row r="2" spans="1:45" ht="47.25" customHeight="1">
      <c r="A2" s="466" t="s">
        <v>365</v>
      </c>
      <c r="B2" s="467"/>
      <c r="C2" s="467"/>
      <c r="D2" s="467"/>
      <c r="E2" s="468"/>
      <c r="F2" s="189" t="s">
        <v>366</v>
      </c>
      <c r="G2" s="189" t="s">
        <v>367</v>
      </c>
      <c r="H2" s="189" t="s">
        <v>368</v>
      </c>
      <c r="I2" s="189" t="s">
        <v>369</v>
      </c>
      <c r="J2" s="189" t="s">
        <v>370</v>
      </c>
      <c r="K2" s="189" t="s">
        <v>371</v>
      </c>
      <c r="L2" s="189" t="s">
        <v>372</v>
      </c>
      <c r="M2" s="189" t="s">
        <v>373</v>
      </c>
      <c r="N2" s="190" t="s">
        <v>374</v>
      </c>
      <c r="O2" s="190" t="s">
        <v>375</v>
      </c>
      <c r="P2" s="190" t="s">
        <v>376</v>
      </c>
      <c r="Q2" s="190" t="s">
        <v>377</v>
      </c>
      <c r="R2" s="190" t="s">
        <v>378</v>
      </c>
      <c r="S2" s="190" t="s">
        <v>379</v>
      </c>
      <c r="T2" s="190" t="s">
        <v>380</v>
      </c>
      <c r="U2" s="190" t="s">
        <v>381</v>
      </c>
      <c r="V2" s="190" t="s">
        <v>382</v>
      </c>
      <c r="W2" s="191" t="s">
        <v>383</v>
      </c>
      <c r="X2" s="191" t="s">
        <v>384</v>
      </c>
      <c r="Y2" s="191" t="s">
        <v>385</v>
      </c>
      <c r="Z2" s="191" t="s">
        <v>386</v>
      </c>
      <c r="AA2" s="191" t="s">
        <v>387</v>
      </c>
      <c r="AB2" s="191" t="s">
        <v>388</v>
      </c>
      <c r="AC2" s="191" t="s">
        <v>389</v>
      </c>
      <c r="AD2" s="192" t="s">
        <v>390</v>
      </c>
      <c r="AE2" s="192" t="s">
        <v>391</v>
      </c>
      <c r="AF2" s="192" t="s">
        <v>392</v>
      </c>
      <c r="AG2" s="192" t="s">
        <v>393</v>
      </c>
      <c r="AH2" s="192" t="s">
        <v>394</v>
      </c>
      <c r="AI2" s="192" t="s">
        <v>395</v>
      </c>
      <c r="AJ2" s="192" t="s">
        <v>396</v>
      </c>
      <c r="AK2" s="192" t="s">
        <v>397</v>
      </c>
      <c r="AL2" s="192" t="s">
        <v>398</v>
      </c>
      <c r="AM2" s="192" t="s">
        <v>399</v>
      </c>
      <c r="AN2" s="192" t="s">
        <v>400</v>
      </c>
      <c r="AO2" s="192" t="s">
        <v>401</v>
      </c>
      <c r="AP2" s="192">
        <v>3.1</v>
      </c>
      <c r="AQ2" s="192">
        <v>3.2</v>
      </c>
      <c r="AR2" s="192">
        <v>4.0999999999999996</v>
      </c>
      <c r="AS2" s="192">
        <v>4.2</v>
      </c>
    </row>
    <row r="3" spans="1:45" ht="25.5">
      <c r="A3" s="193" t="s">
        <v>22</v>
      </c>
      <c r="B3" s="193" t="s">
        <v>23</v>
      </c>
      <c r="C3" s="193" t="s">
        <v>24</v>
      </c>
      <c r="D3" s="193" t="s">
        <v>25</v>
      </c>
      <c r="E3" s="193" t="s">
        <v>26</v>
      </c>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row>
    <row r="4" spans="1: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1:4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1: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row>
    <row r="15" spans="1:4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4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1:4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4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4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1:4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4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1:4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1:4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1:4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1: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1: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1: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sheetData>
  <protectedRanges>
    <protectedRange algorithmName="SHA-512" hashValue="gd6M1j8R2Vcbfm85n99c1D0xjmQvjBlg34UZhxeJx1NLSFqB74OeW1e3isf5ACnAc8NEYyF7OwgEUMDCcurwNA==" saltValue="t3zYNUJUDTdmjGFelNhf8w==" spinCount="100000" sqref="A3:E3" name="Range1"/>
  </protectedRanges>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7D9-DE1D-421D-B044-AAFF50B8ADFC}">
  <dimension ref="A1"/>
  <sheetViews>
    <sheetView workbookViewId="0">
      <selection activeCell="O19" sqref="O19"/>
    </sheetView>
  </sheetViews>
  <sheetFormatPr defaultRowHeight="15.7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D775-10D5-4EEB-8EAD-1A65263D9467}">
  <dimension ref="A1:S2000"/>
  <sheetViews>
    <sheetView workbookViewId="0">
      <selection activeCell="A8" sqref="A8"/>
    </sheetView>
  </sheetViews>
  <sheetFormatPr defaultRowHeight="15.75"/>
  <cols>
    <col min="1" max="1" width="14.875" bestFit="1" customWidth="1"/>
    <col min="2" max="2" width="20" bestFit="1" customWidth="1"/>
    <col min="3" max="5" width="20" customWidth="1"/>
    <col min="6" max="6" width="15.625" bestFit="1" customWidth="1"/>
    <col min="7" max="7" width="21.75" bestFit="1" customWidth="1"/>
    <col min="8" max="8" width="7.5" bestFit="1" customWidth="1"/>
    <col min="18" max="18" width="25.125" bestFit="1" customWidth="1"/>
  </cols>
  <sheetData>
    <row r="1" spans="1:19">
      <c r="A1" t="s">
        <v>402</v>
      </c>
      <c r="B1" t="s">
        <v>403</v>
      </c>
      <c r="C1" t="s">
        <v>404</v>
      </c>
      <c r="D1" t="s">
        <v>405</v>
      </c>
      <c r="E1" t="s">
        <v>24</v>
      </c>
      <c r="F1" t="s">
        <v>406</v>
      </c>
      <c r="G1" t="s">
        <v>407</v>
      </c>
      <c r="H1" t="s">
        <v>408</v>
      </c>
      <c r="I1" t="s">
        <v>409</v>
      </c>
      <c r="J1" t="s">
        <v>410</v>
      </c>
      <c r="K1" t="s">
        <v>411</v>
      </c>
      <c r="L1" t="s">
        <v>412</v>
      </c>
      <c r="M1" t="s">
        <v>413</v>
      </c>
      <c r="N1" t="s">
        <v>414</v>
      </c>
      <c r="O1" t="s">
        <v>415</v>
      </c>
      <c r="P1" t="s">
        <v>416</v>
      </c>
      <c r="R1" t="s">
        <v>417</v>
      </c>
      <c r="S1" t="s">
        <v>418</v>
      </c>
    </row>
    <row r="2" spans="1:19">
      <c r="A2">
        <v>1050958</v>
      </c>
      <c r="B2" t="s">
        <v>419</v>
      </c>
      <c r="C2" t="str">
        <f t="shared" ref="C2:C11" si="0">LEFT(B2,FIND(" ",B2))</f>
        <v xml:space="preserve">Sophia </v>
      </c>
      <c r="D2" t="str">
        <f t="shared" ref="D2:D11" si="1">RIGHT(B2,LEN(B2)-LEN(C2))</f>
        <v>Colenso‐wallace</v>
      </c>
      <c r="E2" t="s">
        <v>63</v>
      </c>
      <c r="F2" t="s">
        <v>208</v>
      </c>
      <c r="G2" t="s">
        <v>420</v>
      </c>
      <c r="H2" t="str" cm="1">
        <f t="array" ref="H2:H2000">_xlfn.XLOOKUP(INDEX(ClassNm,,1),ClassNmRef,ClassIDRef,"",0,1)</f>
        <v>DIP</v>
      </c>
      <c r="R2" t="s">
        <v>421</v>
      </c>
      <c r="S2" t="s">
        <v>422</v>
      </c>
    </row>
    <row r="3" spans="1:19">
      <c r="A3">
        <v>1050958</v>
      </c>
      <c r="B3" t="s">
        <v>419</v>
      </c>
      <c r="C3" t="str">
        <f t="shared" si="0"/>
        <v xml:space="preserve">Sophia </v>
      </c>
      <c r="D3" t="str">
        <f t="shared" si="1"/>
        <v>Colenso‐wallace</v>
      </c>
      <c r="E3" t="s">
        <v>63</v>
      </c>
      <c r="F3" t="s">
        <v>208</v>
      </c>
      <c r="G3" t="s">
        <v>185</v>
      </c>
      <c r="H3" t="str">
        <v>SHI</v>
      </c>
      <c r="R3" t="s">
        <v>423</v>
      </c>
      <c r="S3" t="s">
        <v>424</v>
      </c>
    </row>
    <row r="4" spans="1:19">
      <c r="A4">
        <v>1055734</v>
      </c>
      <c r="B4" t="s">
        <v>425</v>
      </c>
      <c r="C4" t="str">
        <f t="shared" si="0"/>
        <v xml:space="preserve">Samantha </v>
      </c>
      <c r="D4" t="str">
        <f t="shared" si="1"/>
        <v>Foster</v>
      </c>
      <c r="E4" t="s">
        <v>230</v>
      </c>
      <c r="F4" t="s">
        <v>250</v>
      </c>
      <c r="G4" t="s">
        <v>324</v>
      </c>
      <c r="H4" t="str">
        <v>CT80S</v>
      </c>
      <c r="R4" t="s">
        <v>420</v>
      </c>
      <c r="S4" t="s">
        <v>426</v>
      </c>
    </row>
    <row r="5" spans="1:19">
      <c r="A5">
        <v>1055734</v>
      </c>
      <c r="B5" t="s">
        <v>425</v>
      </c>
      <c r="C5" t="str">
        <f t="shared" si="0"/>
        <v xml:space="preserve">Samantha </v>
      </c>
      <c r="D5" t="str">
        <f t="shared" si="1"/>
        <v>Foster</v>
      </c>
      <c r="E5" t="s">
        <v>230</v>
      </c>
      <c r="F5" t="s">
        <v>250</v>
      </c>
      <c r="G5" t="s">
        <v>427</v>
      </c>
      <c r="H5" t="str">
        <v>WHUNTS</v>
      </c>
      <c r="R5" t="s">
        <v>428</v>
      </c>
      <c r="S5" t="s">
        <v>429</v>
      </c>
    </row>
    <row r="6" spans="1:19">
      <c r="A6">
        <v>1055734</v>
      </c>
      <c r="B6" t="s">
        <v>425</v>
      </c>
      <c r="C6" t="str">
        <f t="shared" si="0"/>
        <v xml:space="preserve">Samantha </v>
      </c>
      <c r="D6" t="str">
        <f t="shared" si="1"/>
        <v>Foster</v>
      </c>
      <c r="E6" t="s">
        <v>230</v>
      </c>
      <c r="F6" t="s">
        <v>238</v>
      </c>
      <c r="G6" t="s">
        <v>420</v>
      </c>
      <c r="H6" t="str">
        <v>DIP</v>
      </c>
      <c r="R6" t="s">
        <v>357</v>
      </c>
      <c r="S6" t="s">
        <v>430</v>
      </c>
    </row>
    <row r="7" spans="1:19">
      <c r="A7">
        <v>1055734</v>
      </c>
      <c r="B7" t="s">
        <v>425</v>
      </c>
      <c r="C7" t="str">
        <f t="shared" si="0"/>
        <v xml:space="preserve">Samantha </v>
      </c>
      <c r="D7" t="str">
        <f t="shared" si="1"/>
        <v>Foster</v>
      </c>
      <c r="E7" t="s">
        <v>230</v>
      </c>
      <c r="F7" t="s">
        <v>238</v>
      </c>
      <c r="G7" t="s">
        <v>431</v>
      </c>
      <c r="H7" t="str">
        <v>SHUNTS</v>
      </c>
      <c r="R7" t="s">
        <v>432</v>
      </c>
      <c r="S7" t="s">
        <v>433</v>
      </c>
    </row>
    <row r="8" spans="1:19">
      <c r="A8">
        <v>1055734</v>
      </c>
      <c r="B8" t="s">
        <v>425</v>
      </c>
      <c r="C8" t="str">
        <f t="shared" si="0"/>
        <v xml:space="preserve">Samantha </v>
      </c>
      <c r="D8" t="str">
        <f t="shared" si="1"/>
        <v>Foster</v>
      </c>
      <c r="E8" t="s">
        <v>230</v>
      </c>
      <c r="F8" t="s">
        <v>231</v>
      </c>
      <c r="G8" t="s">
        <v>434</v>
      </c>
      <c r="H8" t="str">
        <v>SHS</v>
      </c>
      <c r="R8" t="s">
        <v>435</v>
      </c>
      <c r="S8" t="s">
        <v>436</v>
      </c>
    </row>
    <row r="9" spans="1:19">
      <c r="A9">
        <v>1055734</v>
      </c>
      <c r="B9" t="s">
        <v>425</v>
      </c>
      <c r="C9" t="str">
        <f t="shared" si="0"/>
        <v xml:space="preserve">Samantha </v>
      </c>
      <c r="D9" t="str">
        <f t="shared" si="1"/>
        <v>Foster</v>
      </c>
      <c r="E9" t="s">
        <v>230</v>
      </c>
      <c r="H9">
        <v>0</v>
      </c>
      <c r="R9" t="s">
        <v>437</v>
      </c>
      <c r="S9" t="s">
        <v>438</v>
      </c>
    </row>
    <row r="10" spans="1:19">
      <c r="B10" t="s">
        <v>439</v>
      </c>
      <c r="C10" t="str">
        <f t="shared" si="0"/>
        <v xml:space="preserve">Charlotte </v>
      </c>
      <c r="D10" t="str">
        <f t="shared" si="1"/>
        <v>Leonow</v>
      </c>
      <c r="H10">
        <v>0</v>
      </c>
      <c r="R10" t="s">
        <v>440</v>
      </c>
      <c r="S10" t="s">
        <v>441</v>
      </c>
    </row>
    <row r="11" spans="1:19">
      <c r="A11">
        <v>1036976</v>
      </c>
      <c r="B11" t="s">
        <v>270</v>
      </c>
      <c r="C11" t="str">
        <f t="shared" si="0"/>
        <v xml:space="preserve">Katrina </v>
      </c>
      <c r="D11" t="str">
        <f t="shared" si="1"/>
        <v>Brokus</v>
      </c>
      <c r="E11" t="s">
        <v>442</v>
      </c>
      <c r="F11" t="s">
        <v>271</v>
      </c>
      <c r="G11" t="s">
        <v>440</v>
      </c>
      <c r="H11" t="str">
        <v>EV80</v>
      </c>
      <c r="R11" t="s">
        <v>443</v>
      </c>
      <c r="S11" t="s">
        <v>444</v>
      </c>
    </row>
    <row r="12" spans="1:19">
      <c r="H12">
        <v>0</v>
      </c>
      <c r="R12" t="s">
        <v>286</v>
      </c>
      <c r="S12" t="s">
        <v>445</v>
      </c>
    </row>
    <row r="13" spans="1:19">
      <c r="H13">
        <v>0</v>
      </c>
      <c r="R13" t="s">
        <v>288</v>
      </c>
      <c r="S13" t="s">
        <v>446</v>
      </c>
    </row>
    <row r="14" spans="1:19">
      <c r="H14">
        <v>0</v>
      </c>
      <c r="R14" t="s">
        <v>447</v>
      </c>
      <c r="S14" t="s">
        <v>448</v>
      </c>
    </row>
    <row r="15" spans="1:19">
      <c r="H15">
        <v>0</v>
      </c>
      <c r="R15" t="s">
        <v>449</v>
      </c>
      <c r="S15" t="s">
        <v>450</v>
      </c>
    </row>
    <row r="16" spans="1:19">
      <c r="H16">
        <v>0</v>
      </c>
      <c r="R16" t="s">
        <v>178</v>
      </c>
      <c r="S16" t="s">
        <v>451</v>
      </c>
    </row>
    <row r="17" spans="8:19">
      <c r="H17">
        <v>0</v>
      </c>
      <c r="R17" t="s">
        <v>185</v>
      </c>
      <c r="S17" t="s">
        <v>452</v>
      </c>
    </row>
    <row r="18" spans="8:19">
      <c r="H18">
        <v>0</v>
      </c>
      <c r="R18" t="s">
        <v>213</v>
      </c>
      <c r="S18" t="s">
        <v>453</v>
      </c>
    </row>
    <row r="19" spans="8:19">
      <c r="H19">
        <v>0</v>
      </c>
      <c r="R19" t="s">
        <v>221</v>
      </c>
      <c r="S19" t="s">
        <v>454</v>
      </c>
    </row>
    <row r="20" spans="8:19">
      <c r="H20">
        <v>0</v>
      </c>
      <c r="R20" t="s">
        <v>434</v>
      </c>
      <c r="S20" t="s">
        <v>455</v>
      </c>
    </row>
    <row r="21" spans="8:19">
      <c r="H21">
        <v>0</v>
      </c>
      <c r="R21" t="s">
        <v>431</v>
      </c>
      <c r="S21" t="s">
        <v>456</v>
      </c>
    </row>
    <row r="22" spans="8:19">
      <c r="H22">
        <v>0</v>
      </c>
      <c r="R22" t="s">
        <v>427</v>
      </c>
      <c r="S22" t="s">
        <v>457</v>
      </c>
    </row>
    <row r="23" spans="8:19">
      <c r="H23">
        <v>0</v>
      </c>
      <c r="R23" t="s">
        <v>295</v>
      </c>
      <c r="S23" t="s">
        <v>458</v>
      </c>
    </row>
    <row r="24" spans="8:19">
      <c r="H24">
        <v>0</v>
      </c>
      <c r="R24" t="s">
        <v>318</v>
      </c>
      <c r="S24" t="s">
        <v>459</v>
      </c>
    </row>
    <row r="25" spans="8:19">
      <c r="H25">
        <v>0</v>
      </c>
      <c r="R25" t="s">
        <v>319</v>
      </c>
      <c r="S25" t="s">
        <v>460</v>
      </c>
    </row>
    <row r="26" spans="8:19">
      <c r="H26">
        <v>0</v>
      </c>
      <c r="R26" t="s">
        <v>320</v>
      </c>
      <c r="S26" t="s">
        <v>461</v>
      </c>
    </row>
    <row r="27" spans="8:19">
      <c r="H27">
        <v>0</v>
      </c>
      <c r="R27" t="s">
        <v>324</v>
      </c>
      <c r="S27" t="s">
        <v>462</v>
      </c>
    </row>
    <row r="28" spans="8:19">
      <c r="H28">
        <v>0</v>
      </c>
      <c r="R28" t="s">
        <v>325</v>
      </c>
      <c r="S28" t="s">
        <v>463</v>
      </c>
    </row>
    <row r="29" spans="8:19">
      <c r="H29">
        <v>0</v>
      </c>
      <c r="R29" t="s">
        <v>326</v>
      </c>
      <c r="S29" t="s">
        <v>464</v>
      </c>
    </row>
    <row r="30" spans="8:19">
      <c r="H30">
        <v>0</v>
      </c>
      <c r="R30" t="s">
        <v>327</v>
      </c>
      <c r="S30" t="s">
        <v>465</v>
      </c>
    </row>
    <row r="31" spans="8:19">
      <c r="H31">
        <v>0</v>
      </c>
    </row>
    <row r="32" spans="8:19">
      <c r="H32">
        <v>0</v>
      </c>
    </row>
    <row r="33" spans="8:8">
      <c r="H33">
        <v>0</v>
      </c>
    </row>
    <row r="34" spans="8:8">
      <c r="H34">
        <v>0</v>
      </c>
    </row>
    <row r="35" spans="8:8">
      <c r="H35">
        <v>0</v>
      </c>
    </row>
    <row r="36" spans="8:8">
      <c r="H36">
        <v>0</v>
      </c>
    </row>
    <row r="37" spans="8:8">
      <c r="H37">
        <v>0</v>
      </c>
    </row>
    <row r="38" spans="8:8">
      <c r="H38">
        <v>0</v>
      </c>
    </row>
    <row r="39" spans="8:8">
      <c r="H39">
        <v>0</v>
      </c>
    </row>
    <row r="40" spans="8:8">
      <c r="H40">
        <v>0</v>
      </c>
    </row>
    <row r="41" spans="8:8">
      <c r="H41">
        <v>0</v>
      </c>
    </row>
    <row r="42" spans="8:8">
      <c r="H42">
        <v>0</v>
      </c>
    </row>
    <row r="43" spans="8:8">
      <c r="H43">
        <v>0</v>
      </c>
    </row>
    <row r="44" spans="8:8">
      <c r="H44">
        <v>0</v>
      </c>
    </row>
    <row r="45" spans="8:8">
      <c r="H45">
        <v>0</v>
      </c>
    </row>
    <row r="46" spans="8:8">
      <c r="H46">
        <v>0</v>
      </c>
    </row>
    <row r="47" spans="8:8">
      <c r="H47">
        <v>0</v>
      </c>
    </row>
    <row r="48" spans="8:8">
      <c r="H48">
        <v>0</v>
      </c>
    </row>
    <row r="49" spans="8:8">
      <c r="H49">
        <v>0</v>
      </c>
    </row>
    <row r="50" spans="8:8">
      <c r="H50">
        <v>0</v>
      </c>
    </row>
    <row r="51" spans="8:8">
      <c r="H51">
        <v>0</v>
      </c>
    </row>
    <row r="52" spans="8:8">
      <c r="H52">
        <v>0</v>
      </c>
    </row>
    <row r="53" spans="8:8">
      <c r="H53">
        <v>0</v>
      </c>
    </row>
    <row r="54" spans="8:8">
      <c r="H54">
        <v>0</v>
      </c>
    </row>
    <row r="55" spans="8:8">
      <c r="H55">
        <v>0</v>
      </c>
    </row>
    <row r="56" spans="8:8">
      <c r="H56">
        <v>0</v>
      </c>
    </row>
    <row r="57" spans="8:8">
      <c r="H57">
        <v>0</v>
      </c>
    </row>
    <row r="58" spans="8:8">
      <c r="H58">
        <v>0</v>
      </c>
    </row>
    <row r="59" spans="8:8">
      <c r="H59">
        <v>0</v>
      </c>
    </row>
    <row r="60" spans="8:8">
      <c r="H60">
        <v>0</v>
      </c>
    </row>
    <row r="61" spans="8:8">
      <c r="H61">
        <v>0</v>
      </c>
    </row>
    <row r="62" spans="8:8">
      <c r="H62">
        <v>0</v>
      </c>
    </row>
    <row r="63" spans="8:8">
      <c r="H63">
        <v>0</v>
      </c>
    </row>
    <row r="64" spans="8:8">
      <c r="H64">
        <v>0</v>
      </c>
    </row>
    <row r="65" spans="8:8">
      <c r="H65">
        <v>0</v>
      </c>
    </row>
    <row r="66" spans="8:8">
      <c r="H66">
        <v>0</v>
      </c>
    </row>
    <row r="67" spans="8:8">
      <c r="H67">
        <v>0</v>
      </c>
    </row>
    <row r="68" spans="8:8">
      <c r="H68">
        <v>0</v>
      </c>
    </row>
    <row r="69" spans="8:8">
      <c r="H69">
        <v>0</v>
      </c>
    </row>
    <row r="70" spans="8:8">
      <c r="H70">
        <v>0</v>
      </c>
    </row>
    <row r="71" spans="8:8">
      <c r="H71">
        <v>0</v>
      </c>
    </row>
    <row r="72" spans="8:8">
      <c r="H72">
        <v>0</v>
      </c>
    </row>
    <row r="73" spans="8:8">
      <c r="H73">
        <v>0</v>
      </c>
    </row>
    <row r="74" spans="8:8">
      <c r="H74">
        <v>0</v>
      </c>
    </row>
    <row r="75" spans="8:8">
      <c r="H75">
        <v>0</v>
      </c>
    </row>
    <row r="76" spans="8:8">
      <c r="H76">
        <v>0</v>
      </c>
    </row>
    <row r="77" spans="8:8">
      <c r="H77">
        <v>0</v>
      </c>
    </row>
    <row r="78" spans="8:8">
      <c r="H78">
        <v>0</v>
      </c>
    </row>
    <row r="79" spans="8:8">
      <c r="H79">
        <v>0</v>
      </c>
    </row>
    <row r="80" spans="8:8">
      <c r="H80">
        <v>0</v>
      </c>
    </row>
    <row r="81" spans="8:8">
      <c r="H81">
        <v>0</v>
      </c>
    </row>
    <row r="82" spans="8:8">
      <c r="H82">
        <v>0</v>
      </c>
    </row>
    <row r="83" spans="8:8">
      <c r="H83">
        <v>0</v>
      </c>
    </row>
    <row r="84" spans="8:8">
      <c r="H84">
        <v>0</v>
      </c>
    </row>
    <row r="85" spans="8:8">
      <c r="H85">
        <v>0</v>
      </c>
    </row>
    <row r="86" spans="8:8">
      <c r="H86">
        <v>0</v>
      </c>
    </row>
    <row r="87" spans="8:8">
      <c r="H87">
        <v>0</v>
      </c>
    </row>
    <row r="88" spans="8:8">
      <c r="H88">
        <v>0</v>
      </c>
    </row>
    <row r="89" spans="8:8">
      <c r="H89">
        <v>0</v>
      </c>
    </row>
    <row r="90" spans="8:8">
      <c r="H90">
        <v>0</v>
      </c>
    </row>
    <row r="91" spans="8:8">
      <c r="H91">
        <v>0</v>
      </c>
    </row>
    <row r="92" spans="8:8">
      <c r="H92">
        <v>0</v>
      </c>
    </row>
    <row r="93" spans="8:8">
      <c r="H93">
        <v>0</v>
      </c>
    </row>
    <row r="94" spans="8:8">
      <c r="H94">
        <v>0</v>
      </c>
    </row>
    <row r="95" spans="8:8">
      <c r="H95">
        <v>0</v>
      </c>
    </row>
    <row r="96" spans="8:8">
      <c r="H96">
        <v>0</v>
      </c>
    </row>
    <row r="97" spans="8:8">
      <c r="H97">
        <v>0</v>
      </c>
    </row>
    <row r="98" spans="8:8">
      <c r="H98">
        <v>0</v>
      </c>
    </row>
    <row r="99" spans="8:8">
      <c r="H99">
        <v>0</v>
      </c>
    </row>
    <row r="100" spans="8:8">
      <c r="H100">
        <v>0</v>
      </c>
    </row>
    <row r="101" spans="8:8">
      <c r="H101">
        <v>0</v>
      </c>
    </row>
    <row r="102" spans="8:8">
      <c r="H102">
        <v>0</v>
      </c>
    </row>
    <row r="103" spans="8:8">
      <c r="H103">
        <v>0</v>
      </c>
    </row>
    <row r="104" spans="8:8">
      <c r="H104">
        <v>0</v>
      </c>
    </row>
    <row r="105" spans="8:8">
      <c r="H105">
        <v>0</v>
      </c>
    </row>
    <row r="106" spans="8:8">
      <c r="H106">
        <v>0</v>
      </c>
    </row>
    <row r="107" spans="8:8">
      <c r="H107">
        <v>0</v>
      </c>
    </row>
    <row r="108" spans="8:8">
      <c r="H108">
        <v>0</v>
      </c>
    </row>
    <row r="109" spans="8:8">
      <c r="H109">
        <v>0</v>
      </c>
    </row>
    <row r="110" spans="8:8">
      <c r="H110">
        <v>0</v>
      </c>
    </row>
    <row r="111" spans="8:8">
      <c r="H111">
        <v>0</v>
      </c>
    </row>
    <row r="112" spans="8:8">
      <c r="H112">
        <v>0</v>
      </c>
    </row>
    <row r="113" spans="8:8">
      <c r="H113">
        <v>0</v>
      </c>
    </row>
    <row r="114" spans="8:8">
      <c r="H114">
        <v>0</v>
      </c>
    </row>
    <row r="115" spans="8:8">
      <c r="H115">
        <v>0</v>
      </c>
    </row>
    <row r="116" spans="8:8">
      <c r="H116">
        <v>0</v>
      </c>
    </row>
    <row r="117" spans="8:8">
      <c r="H117">
        <v>0</v>
      </c>
    </row>
    <row r="118" spans="8:8">
      <c r="H118">
        <v>0</v>
      </c>
    </row>
    <row r="119" spans="8:8">
      <c r="H119">
        <v>0</v>
      </c>
    </row>
    <row r="120" spans="8:8">
      <c r="H120">
        <v>0</v>
      </c>
    </row>
    <row r="121" spans="8:8">
      <c r="H121">
        <v>0</v>
      </c>
    </row>
    <row r="122" spans="8:8">
      <c r="H122">
        <v>0</v>
      </c>
    </row>
    <row r="123" spans="8:8">
      <c r="H123">
        <v>0</v>
      </c>
    </row>
    <row r="124" spans="8:8">
      <c r="H124">
        <v>0</v>
      </c>
    </row>
    <row r="125" spans="8:8">
      <c r="H125">
        <v>0</v>
      </c>
    </row>
    <row r="126" spans="8:8">
      <c r="H126">
        <v>0</v>
      </c>
    </row>
    <row r="127" spans="8:8">
      <c r="H127">
        <v>0</v>
      </c>
    </row>
    <row r="128" spans="8:8">
      <c r="H128">
        <v>0</v>
      </c>
    </row>
    <row r="129" spans="8:8">
      <c r="H129">
        <v>0</v>
      </c>
    </row>
    <row r="130" spans="8:8">
      <c r="H130">
        <v>0</v>
      </c>
    </row>
    <row r="131" spans="8:8">
      <c r="H131">
        <v>0</v>
      </c>
    </row>
    <row r="132" spans="8:8">
      <c r="H132">
        <v>0</v>
      </c>
    </row>
    <row r="133" spans="8:8">
      <c r="H133">
        <v>0</v>
      </c>
    </row>
    <row r="134" spans="8:8">
      <c r="H134">
        <v>0</v>
      </c>
    </row>
    <row r="135" spans="8:8">
      <c r="H135">
        <v>0</v>
      </c>
    </row>
    <row r="136" spans="8:8">
      <c r="H136">
        <v>0</v>
      </c>
    </row>
    <row r="137" spans="8:8">
      <c r="H137">
        <v>0</v>
      </c>
    </row>
    <row r="138" spans="8:8">
      <c r="H138">
        <v>0</v>
      </c>
    </row>
    <row r="139" spans="8:8">
      <c r="H139">
        <v>0</v>
      </c>
    </row>
    <row r="140" spans="8:8">
      <c r="H140">
        <v>0</v>
      </c>
    </row>
    <row r="141" spans="8:8">
      <c r="H141">
        <v>0</v>
      </c>
    </row>
    <row r="142" spans="8:8">
      <c r="H142">
        <v>0</v>
      </c>
    </row>
    <row r="143" spans="8:8">
      <c r="H143">
        <v>0</v>
      </c>
    </row>
    <row r="144" spans="8:8">
      <c r="H144">
        <v>0</v>
      </c>
    </row>
    <row r="145" spans="8:8">
      <c r="H145">
        <v>0</v>
      </c>
    </row>
    <row r="146" spans="8:8">
      <c r="H146">
        <v>0</v>
      </c>
    </row>
    <row r="147" spans="8:8">
      <c r="H147">
        <v>0</v>
      </c>
    </row>
    <row r="148" spans="8:8">
      <c r="H148">
        <v>0</v>
      </c>
    </row>
    <row r="149" spans="8:8">
      <c r="H149">
        <v>0</v>
      </c>
    </row>
    <row r="150" spans="8:8">
      <c r="H150">
        <v>0</v>
      </c>
    </row>
    <row r="151" spans="8:8">
      <c r="H151">
        <v>0</v>
      </c>
    </row>
    <row r="152" spans="8:8">
      <c r="H152">
        <v>0</v>
      </c>
    </row>
    <row r="153" spans="8:8">
      <c r="H153">
        <v>0</v>
      </c>
    </row>
    <row r="154" spans="8:8">
      <c r="H154">
        <v>0</v>
      </c>
    </row>
    <row r="155" spans="8:8">
      <c r="H155">
        <v>0</v>
      </c>
    </row>
    <row r="156" spans="8:8">
      <c r="H156">
        <v>0</v>
      </c>
    </row>
    <row r="157" spans="8:8">
      <c r="H157">
        <v>0</v>
      </c>
    </row>
    <row r="158" spans="8:8">
      <c r="H158">
        <v>0</v>
      </c>
    </row>
    <row r="159" spans="8:8">
      <c r="H159">
        <v>0</v>
      </c>
    </row>
    <row r="160" spans="8:8">
      <c r="H160">
        <v>0</v>
      </c>
    </row>
    <row r="161" spans="8:8">
      <c r="H161">
        <v>0</v>
      </c>
    </row>
    <row r="162" spans="8:8">
      <c r="H162">
        <v>0</v>
      </c>
    </row>
    <row r="163" spans="8:8">
      <c r="H163">
        <v>0</v>
      </c>
    </row>
    <row r="164" spans="8:8">
      <c r="H164">
        <v>0</v>
      </c>
    </row>
    <row r="165" spans="8:8">
      <c r="H165">
        <v>0</v>
      </c>
    </row>
    <row r="166" spans="8:8">
      <c r="H166">
        <v>0</v>
      </c>
    </row>
    <row r="167" spans="8:8">
      <c r="H167">
        <v>0</v>
      </c>
    </row>
    <row r="168" spans="8:8">
      <c r="H168">
        <v>0</v>
      </c>
    </row>
    <row r="169" spans="8:8">
      <c r="H169">
        <v>0</v>
      </c>
    </row>
    <row r="170" spans="8:8">
      <c r="H170">
        <v>0</v>
      </c>
    </row>
    <row r="171" spans="8:8">
      <c r="H171">
        <v>0</v>
      </c>
    </row>
    <row r="172" spans="8:8">
      <c r="H172">
        <v>0</v>
      </c>
    </row>
    <row r="173" spans="8:8">
      <c r="H173">
        <v>0</v>
      </c>
    </row>
    <row r="174" spans="8:8">
      <c r="H174">
        <v>0</v>
      </c>
    </row>
    <row r="175" spans="8:8">
      <c r="H175">
        <v>0</v>
      </c>
    </row>
    <row r="176" spans="8:8">
      <c r="H176">
        <v>0</v>
      </c>
    </row>
    <row r="177" spans="8:8">
      <c r="H177">
        <v>0</v>
      </c>
    </row>
    <row r="178" spans="8:8">
      <c r="H178">
        <v>0</v>
      </c>
    </row>
    <row r="179" spans="8:8">
      <c r="H179">
        <v>0</v>
      </c>
    </row>
    <row r="180" spans="8:8">
      <c r="H180">
        <v>0</v>
      </c>
    </row>
    <row r="181" spans="8:8">
      <c r="H181">
        <v>0</v>
      </c>
    </row>
    <row r="182" spans="8:8">
      <c r="H182">
        <v>0</v>
      </c>
    </row>
    <row r="183" spans="8:8">
      <c r="H183">
        <v>0</v>
      </c>
    </row>
    <row r="184" spans="8:8">
      <c r="H184">
        <v>0</v>
      </c>
    </row>
    <row r="185" spans="8:8">
      <c r="H185">
        <v>0</v>
      </c>
    </row>
    <row r="186" spans="8:8">
      <c r="H186">
        <v>0</v>
      </c>
    </row>
    <row r="187" spans="8:8">
      <c r="H187">
        <v>0</v>
      </c>
    </row>
    <row r="188" spans="8:8">
      <c r="H188">
        <v>0</v>
      </c>
    </row>
    <row r="189" spans="8:8">
      <c r="H189">
        <v>0</v>
      </c>
    </row>
    <row r="190" spans="8:8">
      <c r="H190">
        <v>0</v>
      </c>
    </row>
    <row r="191" spans="8:8">
      <c r="H191">
        <v>0</v>
      </c>
    </row>
    <row r="192" spans="8:8">
      <c r="H192">
        <v>0</v>
      </c>
    </row>
    <row r="193" spans="8:8">
      <c r="H193">
        <v>0</v>
      </c>
    </row>
    <row r="194" spans="8:8">
      <c r="H194">
        <v>0</v>
      </c>
    </row>
    <row r="195" spans="8:8">
      <c r="H195">
        <v>0</v>
      </c>
    </row>
    <row r="196" spans="8:8">
      <c r="H196">
        <v>0</v>
      </c>
    </row>
    <row r="197" spans="8:8">
      <c r="H197">
        <v>0</v>
      </c>
    </row>
    <row r="198" spans="8:8">
      <c r="H198">
        <v>0</v>
      </c>
    </row>
    <row r="199" spans="8:8">
      <c r="H199">
        <v>0</v>
      </c>
    </row>
    <row r="200" spans="8:8">
      <c r="H200">
        <v>0</v>
      </c>
    </row>
    <row r="201" spans="8:8">
      <c r="H201">
        <v>0</v>
      </c>
    </row>
    <row r="202" spans="8:8">
      <c r="H202">
        <v>0</v>
      </c>
    </row>
    <row r="203" spans="8:8">
      <c r="H203">
        <v>0</v>
      </c>
    </row>
    <row r="204" spans="8:8">
      <c r="H204">
        <v>0</v>
      </c>
    </row>
    <row r="205" spans="8:8">
      <c r="H205">
        <v>0</v>
      </c>
    </row>
    <row r="206" spans="8:8">
      <c r="H206">
        <v>0</v>
      </c>
    </row>
    <row r="207" spans="8:8">
      <c r="H207">
        <v>0</v>
      </c>
    </row>
    <row r="208" spans="8:8">
      <c r="H208">
        <v>0</v>
      </c>
    </row>
    <row r="209" spans="8:8">
      <c r="H209">
        <v>0</v>
      </c>
    </row>
    <row r="210" spans="8:8">
      <c r="H210">
        <v>0</v>
      </c>
    </row>
    <row r="211" spans="8:8">
      <c r="H211">
        <v>0</v>
      </c>
    </row>
    <row r="212" spans="8:8">
      <c r="H212">
        <v>0</v>
      </c>
    </row>
    <row r="213" spans="8:8">
      <c r="H213">
        <v>0</v>
      </c>
    </row>
    <row r="214" spans="8:8">
      <c r="H214">
        <v>0</v>
      </c>
    </row>
    <row r="215" spans="8:8">
      <c r="H215">
        <v>0</v>
      </c>
    </row>
    <row r="216" spans="8:8">
      <c r="H216">
        <v>0</v>
      </c>
    </row>
    <row r="217" spans="8:8">
      <c r="H217">
        <v>0</v>
      </c>
    </row>
    <row r="218" spans="8:8">
      <c r="H218">
        <v>0</v>
      </c>
    </row>
    <row r="219" spans="8:8">
      <c r="H219">
        <v>0</v>
      </c>
    </row>
    <row r="220" spans="8:8">
      <c r="H220">
        <v>0</v>
      </c>
    </row>
    <row r="221" spans="8:8">
      <c r="H221">
        <v>0</v>
      </c>
    </row>
    <row r="222" spans="8:8">
      <c r="H222">
        <v>0</v>
      </c>
    </row>
    <row r="223" spans="8:8">
      <c r="H223">
        <v>0</v>
      </c>
    </row>
    <row r="224" spans="8:8">
      <c r="H224">
        <v>0</v>
      </c>
    </row>
    <row r="225" spans="8:8">
      <c r="H225">
        <v>0</v>
      </c>
    </row>
    <row r="226" spans="8:8">
      <c r="H226">
        <v>0</v>
      </c>
    </row>
    <row r="227" spans="8:8">
      <c r="H227">
        <v>0</v>
      </c>
    </row>
    <row r="228" spans="8:8">
      <c r="H228">
        <v>0</v>
      </c>
    </row>
    <row r="229" spans="8:8">
      <c r="H229">
        <v>0</v>
      </c>
    </row>
    <row r="230" spans="8:8">
      <c r="H230">
        <v>0</v>
      </c>
    </row>
    <row r="231" spans="8:8">
      <c r="H231">
        <v>0</v>
      </c>
    </row>
    <row r="232" spans="8:8">
      <c r="H232">
        <v>0</v>
      </c>
    </row>
    <row r="233" spans="8:8">
      <c r="H233">
        <v>0</v>
      </c>
    </row>
    <row r="234" spans="8:8">
      <c r="H234">
        <v>0</v>
      </c>
    </row>
    <row r="235" spans="8:8">
      <c r="H235">
        <v>0</v>
      </c>
    </row>
    <row r="236" spans="8:8">
      <c r="H236">
        <v>0</v>
      </c>
    </row>
    <row r="237" spans="8:8">
      <c r="H237">
        <v>0</v>
      </c>
    </row>
    <row r="238" spans="8:8">
      <c r="H238">
        <v>0</v>
      </c>
    </row>
    <row r="239" spans="8:8">
      <c r="H239">
        <v>0</v>
      </c>
    </row>
    <row r="240" spans="8:8">
      <c r="H240">
        <v>0</v>
      </c>
    </row>
    <row r="241" spans="8:8">
      <c r="H241">
        <v>0</v>
      </c>
    </row>
    <row r="242" spans="8:8">
      <c r="H242">
        <v>0</v>
      </c>
    </row>
    <row r="243" spans="8:8">
      <c r="H243">
        <v>0</v>
      </c>
    </row>
    <row r="244" spans="8:8">
      <c r="H244">
        <v>0</v>
      </c>
    </row>
    <row r="245" spans="8:8">
      <c r="H245">
        <v>0</v>
      </c>
    </row>
    <row r="246" spans="8:8">
      <c r="H246">
        <v>0</v>
      </c>
    </row>
    <row r="247" spans="8:8">
      <c r="H247">
        <v>0</v>
      </c>
    </row>
    <row r="248" spans="8:8">
      <c r="H248">
        <v>0</v>
      </c>
    </row>
    <row r="249" spans="8:8">
      <c r="H249">
        <v>0</v>
      </c>
    </row>
    <row r="250" spans="8:8">
      <c r="H250">
        <v>0</v>
      </c>
    </row>
    <row r="251" spans="8:8">
      <c r="H251">
        <v>0</v>
      </c>
    </row>
    <row r="252" spans="8:8">
      <c r="H252">
        <v>0</v>
      </c>
    </row>
    <row r="253" spans="8:8">
      <c r="H253">
        <v>0</v>
      </c>
    </row>
    <row r="254" spans="8:8">
      <c r="H254">
        <v>0</v>
      </c>
    </row>
    <row r="255" spans="8:8">
      <c r="H255">
        <v>0</v>
      </c>
    </row>
    <row r="256" spans="8:8">
      <c r="H256">
        <v>0</v>
      </c>
    </row>
    <row r="257" spans="8:8">
      <c r="H257">
        <v>0</v>
      </c>
    </row>
    <row r="258" spans="8:8">
      <c r="H258">
        <v>0</v>
      </c>
    </row>
    <row r="259" spans="8:8">
      <c r="H259">
        <v>0</v>
      </c>
    </row>
    <row r="260" spans="8:8">
      <c r="H260">
        <v>0</v>
      </c>
    </row>
    <row r="261" spans="8:8">
      <c r="H261">
        <v>0</v>
      </c>
    </row>
    <row r="262" spans="8:8">
      <c r="H262">
        <v>0</v>
      </c>
    </row>
    <row r="263" spans="8:8">
      <c r="H263">
        <v>0</v>
      </c>
    </row>
    <row r="264" spans="8:8">
      <c r="H264">
        <v>0</v>
      </c>
    </row>
    <row r="265" spans="8:8">
      <c r="H265">
        <v>0</v>
      </c>
    </row>
    <row r="266" spans="8:8">
      <c r="H266">
        <v>0</v>
      </c>
    </row>
    <row r="267" spans="8:8">
      <c r="H267">
        <v>0</v>
      </c>
    </row>
    <row r="268" spans="8:8">
      <c r="H268">
        <v>0</v>
      </c>
    </row>
    <row r="269" spans="8:8">
      <c r="H269">
        <v>0</v>
      </c>
    </row>
    <row r="270" spans="8:8">
      <c r="H270">
        <v>0</v>
      </c>
    </row>
    <row r="271" spans="8:8">
      <c r="H271">
        <v>0</v>
      </c>
    </row>
    <row r="272" spans="8:8">
      <c r="H272">
        <v>0</v>
      </c>
    </row>
    <row r="273" spans="8:8">
      <c r="H273">
        <v>0</v>
      </c>
    </row>
    <row r="274" spans="8:8">
      <c r="H274">
        <v>0</v>
      </c>
    </row>
    <row r="275" spans="8:8">
      <c r="H275">
        <v>0</v>
      </c>
    </row>
    <row r="276" spans="8:8">
      <c r="H276">
        <v>0</v>
      </c>
    </row>
    <row r="277" spans="8:8">
      <c r="H277">
        <v>0</v>
      </c>
    </row>
    <row r="278" spans="8:8">
      <c r="H278">
        <v>0</v>
      </c>
    </row>
    <row r="279" spans="8:8">
      <c r="H279">
        <v>0</v>
      </c>
    </row>
    <row r="280" spans="8:8">
      <c r="H280">
        <v>0</v>
      </c>
    </row>
    <row r="281" spans="8:8">
      <c r="H281">
        <v>0</v>
      </c>
    </row>
    <row r="282" spans="8:8">
      <c r="H282">
        <v>0</v>
      </c>
    </row>
    <row r="283" spans="8:8">
      <c r="H283">
        <v>0</v>
      </c>
    </row>
    <row r="284" spans="8:8">
      <c r="H284">
        <v>0</v>
      </c>
    </row>
    <row r="285" spans="8:8">
      <c r="H285">
        <v>0</v>
      </c>
    </row>
    <row r="286" spans="8:8">
      <c r="H286">
        <v>0</v>
      </c>
    </row>
    <row r="287" spans="8:8">
      <c r="H287">
        <v>0</v>
      </c>
    </row>
    <row r="288" spans="8:8">
      <c r="H288">
        <v>0</v>
      </c>
    </row>
    <row r="289" spans="8:8">
      <c r="H289">
        <v>0</v>
      </c>
    </row>
    <row r="290" spans="8:8">
      <c r="H290">
        <v>0</v>
      </c>
    </row>
    <row r="291" spans="8:8">
      <c r="H291">
        <v>0</v>
      </c>
    </row>
    <row r="292" spans="8:8">
      <c r="H292">
        <v>0</v>
      </c>
    </row>
    <row r="293" spans="8:8">
      <c r="H293">
        <v>0</v>
      </c>
    </row>
    <row r="294" spans="8:8">
      <c r="H294">
        <v>0</v>
      </c>
    </row>
    <row r="295" spans="8:8">
      <c r="H295">
        <v>0</v>
      </c>
    </row>
    <row r="296" spans="8:8">
      <c r="H296">
        <v>0</v>
      </c>
    </row>
    <row r="297" spans="8:8">
      <c r="H297">
        <v>0</v>
      </c>
    </row>
    <row r="298" spans="8:8">
      <c r="H298">
        <v>0</v>
      </c>
    </row>
    <row r="299" spans="8:8">
      <c r="H299">
        <v>0</v>
      </c>
    </row>
    <row r="300" spans="8:8">
      <c r="H300">
        <v>0</v>
      </c>
    </row>
    <row r="301" spans="8:8">
      <c r="H301">
        <v>0</v>
      </c>
    </row>
    <row r="302" spans="8:8">
      <c r="H302">
        <v>0</v>
      </c>
    </row>
    <row r="303" spans="8:8">
      <c r="H303">
        <v>0</v>
      </c>
    </row>
    <row r="304" spans="8:8">
      <c r="H304">
        <v>0</v>
      </c>
    </row>
    <row r="305" spans="8:8">
      <c r="H305">
        <v>0</v>
      </c>
    </row>
    <row r="306" spans="8:8">
      <c r="H306">
        <v>0</v>
      </c>
    </row>
    <row r="307" spans="8:8">
      <c r="H307">
        <v>0</v>
      </c>
    </row>
    <row r="308" spans="8:8">
      <c r="H308">
        <v>0</v>
      </c>
    </row>
    <row r="309" spans="8:8">
      <c r="H309">
        <v>0</v>
      </c>
    </row>
    <row r="310" spans="8:8">
      <c r="H310">
        <v>0</v>
      </c>
    </row>
    <row r="311" spans="8:8">
      <c r="H311">
        <v>0</v>
      </c>
    </row>
    <row r="312" spans="8:8">
      <c r="H312">
        <v>0</v>
      </c>
    </row>
    <row r="313" spans="8:8">
      <c r="H313">
        <v>0</v>
      </c>
    </row>
    <row r="314" spans="8:8">
      <c r="H314">
        <v>0</v>
      </c>
    </row>
    <row r="315" spans="8:8">
      <c r="H315">
        <v>0</v>
      </c>
    </row>
    <row r="316" spans="8:8">
      <c r="H316">
        <v>0</v>
      </c>
    </row>
    <row r="317" spans="8:8">
      <c r="H317">
        <v>0</v>
      </c>
    </row>
    <row r="318" spans="8:8">
      <c r="H318">
        <v>0</v>
      </c>
    </row>
    <row r="319" spans="8:8">
      <c r="H319">
        <v>0</v>
      </c>
    </row>
    <row r="320" spans="8:8">
      <c r="H320">
        <v>0</v>
      </c>
    </row>
    <row r="321" spans="8:8">
      <c r="H321">
        <v>0</v>
      </c>
    </row>
    <row r="322" spans="8:8">
      <c r="H322">
        <v>0</v>
      </c>
    </row>
    <row r="323" spans="8:8">
      <c r="H323">
        <v>0</v>
      </c>
    </row>
    <row r="324" spans="8:8">
      <c r="H324">
        <v>0</v>
      </c>
    </row>
    <row r="325" spans="8:8">
      <c r="H325">
        <v>0</v>
      </c>
    </row>
    <row r="326" spans="8:8">
      <c r="H326">
        <v>0</v>
      </c>
    </row>
    <row r="327" spans="8:8">
      <c r="H327">
        <v>0</v>
      </c>
    </row>
    <row r="328" spans="8:8">
      <c r="H328">
        <v>0</v>
      </c>
    </row>
    <row r="329" spans="8:8">
      <c r="H329">
        <v>0</v>
      </c>
    </row>
    <row r="330" spans="8:8">
      <c r="H330">
        <v>0</v>
      </c>
    </row>
    <row r="331" spans="8:8">
      <c r="H331">
        <v>0</v>
      </c>
    </row>
    <row r="332" spans="8:8">
      <c r="H332">
        <v>0</v>
      </c>
    </row>
    <row r="333" spans="8:8">
      <c r="H333">
        <v>0</v>
      </c>
    </row>
    <row r="334" spans="8:8">
      <c r="H334">
        <v>0</v>
      </c>
    </row>
    <row r="335" spans="8:8">
      <c r="H335">
        <v>0</v>
      </c>
    </row>
    <row r="336" spans="8:8">
      <c r="H336">
        <v>0</v>
      </c>
    </row>
    <row r="337" spans="8:8">
      <c r="H337">
        <v>0</v>
      </c>
    </row>
    <row r="338" spans="8:8">
      <c r="H338">
        <v>0</v>
      </c>
    </row>
    <row r="339" spans="8:8">
      <c r="H339">
        <v>0</v>
      </c>
    </row>
    <row r="340" spans="8:8">
      <c r="H340">
        <v>0</v>
      </c>
    </row>
    <row r="341" spans="8:8">
      <c r="H341">
        <v>0</v>
      </c>
    </row>
    <row r="342" spans="8:8">
      <c r="H342">
        <v>0</v>
      </c>
    </row>
    <row r="343" spans="8:8">
      <c r="H343">
        <v>0</v>
      </c>
    </row>
    <row r="344" spans="8:8">
      <c r="H344">
        <v>0</v>
      </c>
    </row>
    <row r="345" spans="8:8">
      <c r="H345">
        <v>0</v>
      </c>
    </row>
    <row r="346" spans="8:8">
      <c r="H346">
        <v>0</v>
      </c>
    </row>
    <row r="347" spans="8:8">
      <c r="H347">
        <v>0</v>
      </c>
    </row>
    <row r="348" spans="8:8">
      <c r="H348">
        <v>0</v>
      </c>
    </row>
    <row r="349" spans="8:8">
      <c r="H349">
        <v>0</v>
      </c>
    </row>
    <row r="350" spans="8:8">
      <c r="H350">
        <v>0</v>
      </c>
    </row>
    <row r="351" spans="8:8">
      <c r="H351">
        <v>0</v>
      </c>
    </row>
    <row r="352" spans="8:8">
      <c r="H352">
        <v>0</v>
      </c>
    </row>
    <row r="353" spans="8:8">
      <c r="H353">
        <v>0</v>
      </c>
    </row>
    <row r="354" spans="8:8">
      <c r="H354">
        <v>0</v>
      </c>
    </row>
    <row r="355" spans="8:8">
      <c r="H355">
        <v>0</v>
      </c>
    </row>
    <row r="356" spans="8:8">
      <c r="H356">
        <v>0</v>
      </c>
    </row>
    <row r="357" spans="8:8">
      <c r="H357">
        <v>0</v>
      </c>
    </row>
    <row r="358" spans="8:8">
      <c r="H358">
        <v>0</v>
      </c>
    </row>
    <row r="359" spans="8:8">
      <c r="H359">
        <v>0</v>
      </c>
    </row>
    <row r="360" spans="8:8">
      <c r="H360">
        <v>0</v>
      </c>
    </row>
    <row r="361" spans="8:8">
      <c r="H361">
        <v>0</v>
      </c>
    </row>
    <row r="362" spans="8:8">
      <c r="H362">
        <v>0</v>
      </c>
    </row>
    <row r="363" spans="8:8">
      <c r="H363">
        <v>0</v>
      </c>
    </row>
    <row r="364" spans="8:8">
      <c r="H364">
        <v>0</v>
      </c>
    </row>
    <row r="365" spans="8:8">
      <c r="H365">
        <v>0</v>
      </c>
    </row>
    <row r="366" spans="8:8">
      <c r="H366">
        <v>0</v>
      </c>
    </row>
    <row r="367" spans="8:8">
      <c r="H367">
        <v>0</v>
      </c>
    </row>
    <row r="368" spans="8:8">
      <c r="H368">
        <v>0</v>
      </c>
    </row>
    <row r="369" spans="8:8">
      <c r="H369">
        <v>0</v>
      </c>
    </row>
    <row r="370" spans="8:8">
      <c r="H370">
        <v>0</v>
      </c>
    </row>
    <row r="371" spans="8:8">
      <c r="H371">
        <v>0</v>
      </c>
    </row>
    <row r="372" spans="8:8">
      <c r="H372">
        <v>0</v>
      </c>
    </row>
    <row r="373" spans="8:8">
      <c r="H373">
        <v>0</v>
      </c>
    </row>
    <row r="374" spans="8:8">
      <c r="H374">
        <v>0</v>
      </c>
    </row>
    <row r="375" spans="8:8">
      <c r="H375">
        <v>0</v>
      </c>
    </row>
    <row r="376" spans="8:8">
      <c r="H376">
        <v>0</v>
      </c>
    </row>
    <row r="377" spans="8:8">
      <c r="H377">
        <v>0</v>
      </c>
    </row>
    <row r="378" spans="8:8">
      <c r="H378">
        <v>0</v>
      </c>
    </row>
    <row r="379" spans="8:8">
      <c r="H379">
        <v>0</v>
      </c>
    </row>
    <row r="380" spans="8:8">
      <c r="H380">
        <v>0</v>
      </c>
    </row>
    <row r="381" spans="8:8">
      <c r="H381">
        <v>0</v>
      </c>
    </row>
    <row r="382" spans="8:8">
      <c r="H382">
        <v>0</v>
      </c>
    </row>
    <row r="383" spans="8:8">
      <c r="H383">
        <v>0</v>
      </c>
    </row>
    <row r="384" spans="8:8">
      <c r="H384">
        <v>0</v>
      </c>
    </row>
    <row r="385" spans="8:8">
      <c r="H385">
        <v>0</v>
      </c>
    </row>
    <row r="386" spans="8:8">
      <c r="H386">
        <v>0</v>
      </c>
    </row>
    <row r="387" spans="8:8">
      <c r="H387">
        <v>0</v>
      </c>
    </row>
    <row r="388" spans="8:8">
      <c r="H388">
        <v>0</v>
      </c>
    </row>
    <row r="389" spans="8:8">
      <c r="H389">
        <v>0</v>
      </c>
    </row>
    <row r="390" spans="8:8">
      <c r="H390">
        <v>0</v>
      </c>
    </row>
    <row r="391" spans="8:8">
      <c r="H391">
        <v>0</v>
      </c>
    </row>
    <row r="392" spans="8:8">
      <c r="H392">
        <v>0</v>
      </c>
    </row>
    <row r="393" spans="8:8">
      <c r="H393">
        <v>0</v>
      </c>
    </row>
    <row r="394" spans="8:8">
      <c r="H394">
        <v>0</v>
      </c>
    </row>
    <row r="395" spans="8:8">
      <c r="H395">
        <v>0</v>
      </c>
    </row>
    <row r="396" spans="8:8">
      <c r="H396">
        <v>0</v>
      </c>
    </row>
    <row r="397" spans="8:8">
      <c r="H397">
        <v>0</v>
      </c>
    </row>
    <row r="398" spans="8:8">
      <c r="H398">
        <v>0</v>
      </c>
    </row>
    <row r="399" spans="8:8">
      <c r="H399">
        <v>0</v>
      </c>
    </row>
    <row r="400" spans="8:8">
      <c r="H400">
        <v>0</v>
      </c>
    </row>
    <row r="401" spans="8:8">
      <c r="H401">
        <v>0</v>
      </c>
    </row>
    <row r="402" spans="8:8">
      <c r="H402">
        <v>0</v>
      </c>
    </row>
    <row r="403" spans="8:8">
      <c r="H403">
        <v>0</v>
      </c>
    </row>
    <row r="404" spans="8:8">
      <c r="H404">
        <v>0</v>
      </c>
    </row>
    <row r="405" spans="8:8">
      <c r="H405">
        <v>0</v>
      </c>
    </row>
    <row r="406" spans="8:8">
      <c r="H406">
        <v>0</v>
      </c>
    </row>
    <row r="407" spans="8:8">
      <c r="H407">
        <v>0</v>
      </c>
    </row>
    <row r="408" spans="8:8">
      <c r="H408">
        <v>0</v>
      </c>
    </row>
    <row r="409" spans="8:8">
      <c r="H409">
        <v>0</v>
      </c>
    </row>
    <row r="410" spans="8:8">
      <c r="H410">
        <v>0</v>
      </c>
    </row>
    <row r="411" spans="8:8">
      <c r="H411">
        <v>0</v>
      </c>
    </row>
    <row r="412" spans="8:8">
      <c r="H412">
        <v>0</v>
      </c>
    </row>
    <row r="413" spans="8:8">
      <c r="H413">
        <v>0</v>
      </c>
    </row>
    <row r="414" spans="8:8">
      <c r="H414">
        <v>0</v>
      </c>
    </row>
    <row r="415" spans="8:8">
      <c r="H415">
        <v>0</v>
      </c>
    </row>
    <row r="416" spans="8:8">
      <c r="H416">
        <v>0</v>
      </c>
    </row>
    <row r="417" spans="8:8">
      <c r="H417">
        <v>0</v>
      </c>
    </row>
    <row r="418" spans="8:8">
      <c r="H418">
        <v>0</v>
      </c>
    </row>
    <row r="419" spans="8:8">
      <c r="H419">
        <v>0</v>
      </c>
    </row>
    <row r="420" spans="8:8">
      <c r="H420">
        <v>0</v>
      </c>
    </row>
    <row r="421" spans="8:8">
      <c r="H421">
        <v>0</v>
      </c>
    </row>
    <row r="422" spans="8:8">
      <c r="H422">
        <v>0</v>
      </c>
    </row>
    <row r="423" spans="8:8">
      <c r="H423">
        <v>0</v>
      </c>
    </row>
    <row r="424" spans="8:8">
      <c r="H424">
        <v>0</v>
      </c>
    </row>
    <row r="425" spans="8:8">
      <c r="H425">
        <v>0</v>
      </c>
    </row>
    <row r="426" spans="8:8">
      <c r="H426">
        <v>0</v>
      </c>
    </row>
    <row r="427" spans="8:8">
      <c r="H427">
        <v>0</v>
      </c>
    </row>
    <row r="428" spans="8:8">
      <c r="H428">
        <v>0</v>
      </c>
    </row>
    <row r="429" spans="8:8">
      <c r="H429">
        <v>0</v>
      </c>
    </row>
    <row r="430" spans="8:8">
      <c r="H430">
        <v>0</v>
      </c>
    </row>
    <row r="431" spans="8:8">
      <c r="H431">
        <v>0</v>
      </c>
    </row>
    <row r="432" spans="8:8">
      <c r="H432">
        <v>0</v>
      </c>
    </row>
    <row r="433" spans="8:8">
      <c r="H433">
        <v>0</v>
      </c>
    </row>
    <row r="434" spans="8:8">
      <c r="H434">
        <v>0</v>
      </c>
    </row>
    <row r="435" spans="8:8">
      <c r="H435">
        <v>0</v>
      </c>
    </row>
    <row r="436" spans="8:8">
      <c r="H436">
        <v>0</v>
      </c>
    </row>
    <row r="437" spans="8:8">
      <c r="H437">
        <v>0</v>
      </c>
    </row>
    <row r="438" spans="8:8">
      <c r="H438">
        <v>0</v>
      </c>
    </row>
    <row r="439" spans="8:8">
      <c r="H439">
        <v>0</v>
      </c>
    </row>
    <row r="440" spans="8:8">
      <c r="H440">
        <v>0</v>
      </c>
    </row>
    <row r="441" spans="8:8">
      <c r="H441">
        <v>0</v>
      </c>
    </row>
    <row r="442" spans="8:8">
      <c r="H442">
        <v>0</v>
      </c>
    </row>
    <row r="443" spans="8:8">
      <c r="H443">
        <v>0</v>
      </c>
    </row>
    <row r="444" spans="8:8">
      <c r="H444">
        <v>0</v>
      </c>
    </row>
    <row r="445" spans="8:8">
      <c r="H445">
        <v>0</v>
      </c>
    </row>
    <row r="446" spans="8:8">
      <c r="H446">
        <v>0</v>
      </c>
    </row>
    <row r="447" spans="8:8">
      <c r="H447">
        <v>0</v>
      </c>
    </row>
    <row r="448" spans="8:8">
      <c r="H448">
        <v>0</v>
      </c>
    </row>
    <row r="449" spans="8:8">
      <c r="H449">
        <v>0</v>
      </c>
    </row>
    <row r="450" spans="8:8">
      <c r="H450">
        <v>0</v>
      </c>
    </row>
    <row r="451" spans="8:8">
      <c r="H451">
        <v>0</v>
      </c>
    </row>
    <row r="452" spans="8:8">
      <c r="H452">
        <v>0</v>
      </c>
    </row>
    <row r="453" spans="8:8">
      <c r="H453">
        <v>0</v>
      </c>
    </row>
    <row r="454" spans="8:8">
      <c r="H454">
        <v>0</v>
      </c>
    </row>
    <row r="455" spans="8:8">
      <c r="H455">
        <v>0</v>
      </c>
    </row>
    <row r="456" spans="8:8">
      <c r="H456">
        <v>0</v>
      </c>
    </row>
    <row r="457" spans="8:8">
      <c r="H457">
        <v>0</v>
      </c>
    </row>
    <row r="458" spans="8:8">
      <c r="H458">
        <v>0</v>
      </c>
    </row>
    <row r="459" spans="8:8">
      <c r="H459">
        <v>0</v>
      </c>
    </row>
    <row r="460" spans="8:8">
      <c r="H460">
        <v>0</v>
      </c>
    </row>
    <row r="461" spans="8:8">
      <c r="H461">
        <v>0</v>
      </c>
    </row>
    <row r="462" spans="8:8">
      <c r="H462">
        <v>0</v>
      </c>
    </row>
    <row r="463" spans="8:8">
      <c r="H463">
        <v>0</v>
      </c>
    </row>
    <row r="464" spans="8:8">
      <c r="H464">
        <v>0</v>
      </c>
    </row>
    <row r="465" spans="8:8">
      <c r="H465">
        <v>0</v>
      </c>
    </row>
    <row r="466" spans="8:8">
      <c r="H466">
        <v>0</v>
      </c>
    </row>
    <row r="467" spans="8:8">
      <c r="H467">
        <v>0</v>
      </c>
    </row>
    <row r="468" spans="8:8">
      <c r="H468">
        <v>0</v>
      </c>
    </row>
    <row r="469" spans="8:8">
      <c r="H469">
        <v>0</v>
      </c>
    </row>
    <row r="470" spans="8:8">
      <c r="H470">
        <v>0</v>
      </c>
    </row>
    <row r="471" spans="8:8">
      <c r="H471">
        <v>0</v>
      </c>
    </row>
    <row r="472" spans="8:8">
      <c r="H472">
        <v>0</v>
      </c>
    </row>
    <row r="473" spans="8:8">
      <c r="H473">
        <v>0</v>
      </c>
    </row>
    <row r="474" spans="8:8">
      <c r="H474">
        <v>0</v>
      </c>
    </row>
    <row r="475" spans="8:8">
      <c r="H475">
        <v>0</v>
      </c>
    </row>
    <row r="476" spans="8:8">
      <c r="H476">
        <v>0</v>
      </c>
    </row>
    <row r="477" spans="8:8">
      <c r="H477">
        <v>0</v>
      </c>
    </row>
    <row r="478" spans="8:8">
      <c r="H478">
        <v>0</v>
      </c>
    </row>
    <row r="479" spans="8:8">
      <c r="H479">
        <v>0</v>
      </c>
    </row>
    <row r="480" spans="8:8">
      <c r="H480">
        <v>0</v>
      </c>
    </row>
    <row r="481" spans="8:8">
      <c r="H481">
        <v>0</v>
      </c>
    </row>
    <row r="482" spans="8:8">
      <c r="H482">
        <v>0</v>
      </c>
    </row>
    <row r="483" spans="8:8">
      <c r="H483">
        <v>0</v>
      </c>
    </row>
    <row r="484" spans="8:8">
      <c r="H484">
        <v>0</v>
      </c>
    </row>
    <row r="485" spans="8:8">
      <c r="H485">
        <v>0</v>
      </c>
    </row>
    <row r="486" spans="8:8">
      <c r="H486">
        <v>0</v>
      </c>
    </row>
    <row r="487" spans="8:8">
      <c r="H487">
        <v>0</v>
      </c>
    </row>
    <row r="488" spans="8:8">
      <c r="H488">
        <v>0</v>
      </c>
    </row>
    <row r="489" spans="8:8">
      <c r="H489">
        <v>0</v>
      </c>
    </row>
    <row r="490" spans="8:8">
      <c r="H490">
        <v>0</v>
      </c>
    </row>
    <row r="491" spans="8:8">
      <c r="H491">
        <v>0</v>
      </c>
    </row>
    <row r="492" spans="8:8">
      <c r="H492">
        <v>0</v>
      </c>
    </row>
    <row r="493" spans="8:8">
      <c r="H493">
        <v>0</v>
      </c>
    </row>
    <row r="494" spans="8:8">
      <c r="H494">
        <v>0</v>
      </c>
    </row>
    <row r="495" spans="8:8">
      <c r="H495">
        <v>0</v>
      </c>
    </row>
    <row r="496" spans="8:8">
      <c r="H496">
        <v>0</v>
      </c>
    </row>
    <row r="497" spans="8:8">
      <c r="H497">
        <v>0</v>
      </c>
    </row>
    <row r="498" spans="8:8">
      <c r="H498">
        <v>0</v>
      </c>
    </row>
    <row r="499" spans="8:8">
      <c r="H499">
        <v>0</v>
      </c>
    </row>
    <row r="500" spans="8:8">
      <c r="H500">
        <v>0</v>
      </c>
    </row>
    <row r="501" spans="8:8">
      <c r="H501">
        <v>0</v>
      </c>
    </row>
    <row r="502" spans="8:8">
      <c r="H502">
        <v>0</v>
      </c>
    </row>
    <row r="503" spans="8:8">
      <c r="H503">
        <v>0</v>
      </c>
    </row>
    <row r="504" spans="8:8">
      <c r="H504">
        <v>0</v>
      </c>
    </row>
    <row r="505" spans="8:8">
      <c r="H505">
        <v>0</v>
      </c>
    </row>
    <row r="506" spans="8:8">
      <c r="H506">
        <v>0</v>
      </c>
    </row>
    <row r="507" spans="8:8">
      <c r="H507">
        <v>0</v>
      </c>
    </row>
    <row r="508" spans="8:8">
      <c r="H508">
        <v>0</v>
      </c>
    </row>
    <row r="509" spans="8:8">
      <c r="H509">
        <v>0</v>
      </c>
    </row>
    <row r="510" spans="8:8">
      <c r="H510">
        <v>0</v>
      </c>
    </row>
    <row r="511" spans="8:8">
      <c r="H511">
        <v>0</v>
      </c>
    </row>
    <row r="512" spans="8:8">
      <c r="H512">
        <v>0</v>
      </c>
    </row>
    <row r="513" spans="8:8">
      <c r="H513">
        <v>0</v>
      </c>
    </row>
    <row r="514" spans="8:8">
      <c r="H514">
        <v>0</v>
      </c>
    </row>
    <row r="515" spans="8:8">
      <c r="H515">
        <v>0</v>
      </c>
    </row>
    <row r="516" spans="8:8">
      <c r="H516">
        <v>0</v>
      </c>
    </row>
    <row r="517" spans="8:8">
      <c r="H517">
        <v>0</v>
      </c>
    </row>
    <row r="518" spans="8:8">
      <c r="H518">
        <v>0</v>
      </c>
    </row>
    <row r="519" spans="8:8">
      <c r="H519">
        <v>0</v>
      </c>
    </row>
    <row r="520" spans="8:8">
      <c r="H520">
        <v>0</v>
      </c>
    </row>
    <row r="521" spans="8:8">
      <c r="H521">
        <v>0</v>
      </c>
    </row>
    <row r="522" spans="8:8">
      <c r="H522">
        <v>0</v>
      </c>
    </row>
    <row r="523" spans="8:8">
      <c r="H523">
        <v>0</v>
      </c>
    </row>
    <row r="524" spans="8:8">
      <c r="H524">
        <v>0</v>
      </c>
    </row>
    <row r="525" spans="8:8">
      <c r="H525">
        <v>0</v>
      </c>
    </row>
    <row r="526" spans="8:8">
      <c r="H526">
        <v>0</v>
      </c>
    </row>
    <row r="527" spans="8:8">
      <c r="H527">
        <v>0</v>
      </c>
    </row>
    <row r="528" spans="8:8">
      <c r="H528">
        <v>0</v>
      </c>
    </row>
    <row r="529" spans="8:8">
      <c r="H529">
        <v>0</v>
      </c>
    </row>
    <row r="530" spans="8:8">
      <c r="H530">
        <v>0</v>
      </c>
    </row>
    <row r="531" spans="8:8">
      <c r="H531">
        <v>0</v>
      </c>
    </row>
    <row r="532" spans="8:8">
      <c r="H532">
        <v>0</v>
      </c>
    </row>
    <row r="533" spans="8:8">
      <c r="H533">
        <v>0</v>
      </c>
    </row>
    <row r="534" spans="8:8">
      <c r="H534">
        <v>0</v>
      </c>
    </row>
    <row r="535" spans="8:8">
      <c r="H535">
        <v>0</v>
      </c>
    </row>
    <row r="536" spans="8:8">
      <c r="H536">
        <v>0</v>
      </c>
    </row>
    <row r="537" spans="8:8">
      <c r="H537">
        <v>0</v>
      </c>
    </row>
    <row r="538" spans="8:8">
      <c r="H538">
        <v>0</v>
      </c>
    </row>
    <row r="539" spans="8:8">
      <c r="H539">
        <v>0</v>
      </c>
    </row>
    <row r="540" spans="8:8">
      <c r="H540">
        <v>0</v>
      </c>
    </row>
    <row r="541" spans="8:8">
      <c r="H541">
        <v>0</v>
      </c>
    </row>
    <row r="542" spans="8:8">
      <c r="H542">
        <v>0</v>
      </c>
    </row>
    <row r="543" spans="8:8">
      <c r="H543">
        <v>0</v>
      </c>
    </row>
    <row r="544" spans="8:8">
      <c r="H544">
        <v>0</v>
      </c>
    </row>
    <row r="545" spans="8:8">
      <c r="H545">
        <v>0</v>
      </c>
    </row>
    <row r="546" spans="8:8">
      <c r="H546">
        <v>0</v>
      </c>
    </row>
    <row r="547" spans="8:8">
      <c r="H547">
        <v>0</v>
      </c>
    </row>
    <row r="548" spans="8:8">
      <c r="H548">
        <v>0</v>
      </c>
    </row>
    <row r="549" spans="8:8">
      <c r="H549">
        <v>0</v>
      </c>
    </row>
    <row r="550" spans="8:8">
      <c r="H550">
        <v>0</v>
      </c>
    </row>
    <row r="551" spans="8:8">
      <c r="H551">
        <v>0</v>
      </c>
    </row>
    <row r="552" spans="8:8">
      <c r="H552">
        <v>0</v>
      </c>
    </row>
    <row r="553" spans="8:8">
      <c r="H553">
        <v>0</v>
      </c>
    </row>
    <row r="554" spans="8:8">
      <c r="H554">
        <v>0</v>
      </c>
    </row>
    <row r="555" spans="8:8">
      <c r="H555">
        <v>0</v>
      </c>
    </row>
    <row r="556" spans="8:8">
      <c r="H556">
        <v>0</v>
      </c>
    </row>
    <row r="557" spans="8:8">
      <c r="H557">
        <v>0</v>
      </c>
    </row>
    <row r="558" spans="8:8">
      <c r="H558">
        <v>0</v>
      </c>
    </row>
    <row r="559" spans="8:8">
      <c r="H559">
        <v>0</v>
      </c>
    </row>
    <row r="560" spans="8:8">
      <c r="H560">
        <v>0</v>
      </c>
    </row>
    <row r="561" spans="8:8">
      <c r="H561">
        <v>0</v>
      </c>
    </row>
    <row r="562" spans="8:8">
      <c r="H562">
        <v>0</v>
      </c>
    </row>
    <row r="563" spans="8:8">
      <c r="H563">
        <v>0</v>
      </c>
    </row>
    <row r="564" spans="8:8">
      <c r="H564">
        <v>0</v>
      </c>
    </row>
    <row r="565" spans="8:8">
      <c r="H565">
        <v>0</v>
      </c>
    </row>
    <row r="566" spans="8:8">
      <c r="H566">
        <v>0</v>
      </c>
    </row>
    <row r="567" spans="8:8">
      <c r="H567">
        <v>0</v>
      </c>
    </row>
    <row r="568" spans="8:8">
      <c r="H568">
        <v>0</v>
      </c>
    </row>
    <row r="569" spans="8:8">
      <c r="H569">
        <v>0</v>
      </c>
    </row>
    <row r="570" spans="8:8">
      <c r="H570">
        <v>0</v>
      </c>
    </row>
    <row r="571" spans="8:8">
      <c r="H571">
        <v>0</v>
      </c>
    </row>
    <row r="572" spans="8:8">
      <c r="H572">
        <v>0</v>
      </c>
    </row>
    <row r="573" spans="8:8">
      <c r="H573">
        <v>0</v>
      </c>
    </row>
    <row r="574" spans="8:8">
      <c r="H574">
        <v>0</v>
      </c>
    </row>
    <row r="575" spans="8:8">
      <c r="H575">
        <v>0</v>
      </c>
    </row>
    <row r="576" spans="8:8">
      <c r="H576">
        <v>0</v>
      </c>
    </row>
    <row r="577" spans="8:8">
      <c r="H577">
        <v>0</v>
      </c>
    </row>
    <row r="578" spans="8:8">
      <c r="H578">
        <v>0</v>
      </c>
    </row>
    <row r="579" spans="8:8">
      <c r="H579">
        <v>0</v>
      </c>
    </row>
    <row r="580" spans="8:8">
      <c r="H580">
        <v>0</v>
      </c>
    </row>
    <row r="581" spans="8:8">
      <c r="H581">
        <v>0</v>
      </c>
    </row>
    <row r="582" spans="8:8">
      <c r="H582">
        <v>0</v>
      </c>
    </row>
    <row r="583" spans="8:8">
      <c r="H583">
        <v>0</v>
      </c>
    </row>
    <row r="584" spans="8:8">
      <c r="H584">
        <v>0</v>
      </c>
    </row>
    <row r="585" spans="8:8">
      <c r="H585">
        <v>0</v>
      </c>
    </row>
    <row r="586" spans="8:8">
      <c r="H586">
        <v>0</v>
      </c>
    </row>
    <row r="587" spans="8:8">
      <c r="H587">
        <v>0</v>
      </c>
    </row>
    <row r="588" spans="8:8">
      <c r="H588">
        <v>0</v>
      </c>
    </row>
    <row r="589" spans="8:8">
      <c r="H589">
        <v>0</v>
      </c>
    </row>
    <row r="590" spans="8:8">
      <c r="H590">
        <v>0</v>
      </c>
    </row>
    <row r="591" spans="8:8">
      <c r="H591">
        <v>0</v>
      </c>
    </row>
    <row r="592" spans="8:8">
      <c r="H592">
        <v>0</v>
      </c>
    </row>
    <row r="593" spans="8:8">
      <c r="H593">
        <v>0</v>
      </c>
    </row>
    <row r="594" spans="8:8">
      <c r="H594">
        <v>0</v>
      </c>
    </row>
    <row r="595" spans="8:8">
      <c r="H595">
        <v>0</v>
      </c>
    </row>
    <row r="596" spans="8:8">
      <c r="H596">
        <v>0</v>
      </c>
    </row>
    <row r="597" spans="8:8">
      <c r="H597">
        <v>0</v>
      </c>
    </row>
    <row r="598" spans="8:8">
      <c r="H598">
        <v>0</v>
      </c>
    </row>
    <row r="599" spans="8:8">
      <c r="H599">
        <v>0</v>
      </c>
    </row>
    <row r="600" spans="8:8">
      <c r="H600">
        <v>0</v>
      </c>
    </row>
    <row r="601" spans="8:8">
      <c r="H601">
        <v>0</v>
      </c>
    </row>
    <row r="602" spans="8:8">
      <c r="H602">
        <v>0</v>
      </c>
    </row>
    <row r="603" spans="8:8">
      <c r="H603">
        <v>0</v>
      </c>
    </row>
    <row r="604" spans="8:8">
      <c r="H604">
        <v>0</v>
      </c>
    </row>
    <row r="605" spans="8:8">
      <c r="H605">
        <v>0</v>
      </c>
    </row>
    <row r="606" spans="8:8">
      <c r="H606">
        <v>0</v>
      </c>
    </row>
    <row r="607" spans="8:8">
      <c r="H607">
        <v>0</v>
      </c>
    </row>
    <row r="608" spans="8:8">
      <c r="H608">
        <v>0</v>
      </c>
    </row>
    <row r="609" spans="8:8">
      <c r="H609">
        <v>0</v>
      </c>
    </row>
    <row r="610" spans="8:8">
      <c r="H610">
        <v>0</v>
      </c>
    </row>
    <row r="611" spans="8:8">
      <c r="H611">
        <v>0</v>
      </c>
    </row>
    <row r="612" spans="8:8">
      <c r="H612">
        <v>0</v>
      </c>
    </row>
    <row r="613" spans="8:8">
      <c r="H613">
        <v>0</v>
      </c>
    </row>
    <row r="614" spans="8:8">
      <c r="H614">
        <v>0</v>
      </c>
    </row>
    <row r="615" spans="8:8">
      <c r="H615">
        <v>0</v>
      </c>
    </row>
    <row r="616" spans="8:8">
      <c r="H616">
        <v>0</v>
      </c>
    </row>
    <row r="617" spans="8:8">
      <c r="H617">
        <v>0</v>
      </c>
    </row>
    <row r="618" spans="8:8">
      <c r="H618">
        <v>0</v>
      </c>
    </row>
    <row r="619" spans="8:8">
      <c r="H619">
        <v>0</v>
      </c>
    </row>
    <row r="620" spans="8:8">
      <c r="H620">
        <v>0</v>
      </c>
    </row>
    <row r="621" spans="8:8">
      <c r="H621">
        <v>0</v>
      </c>
    </row>
    <row r="622" spans="8:8">
      <c r="H622">
        <v>0</v>
      </c>
    </row>
    <row r="623" spans="8:8">
      <c r="H623">
        <v>0</v>
      </c>
    </row>
    <row r="624" spans="8:8">
      <c r="H624">
        <v>0</v>
      </c>
    </row>
    <row r="625" spans="8:8">
      <c r="H625">
        <v>0</v>
      </c>
    </row>
    <row r="626" spans="8:8">
      <c r="H626">
        <v>0</v>
      </c>
    </row>
    <row r="627" spans="8:8">
      <c r="H627">
        <v>0</v>
      </c>
    </row>
    <row r="628" spans="8:8">
      <c r="H628">
        <v>0</v>
      </c>
    </row>
    <row r="629" spans="8:8">
      <c r="H629">
        <v>0</v>
      </c>
    </row>
    <row r="630" spans="8:8">
      <c r="H630">
        <v>0</v>
      </c>
    </row>
    <row r="631" spans="8:8">
      <c r="H631">
        <v>0</v>
      </c>
    </row>
    <row r="632" spans="8:8">
      <c r="H632">
        <v>0</v>
      </c>
    </row>
    <row r="633" spans="8:8">
      <c r="H633">
        <v>0</v>
      </c>
    </row>
    <row r="634" spans="8:8">
      <c r="H634">
        <v>0</v>
      </c>
    </row>
    <row r="635" spans="8:8">
      <c r="H635">
        <v>0</v>
      </c>
    </row>
    <row r="636" spans="8:8">
      <c r="H636">
        <v>0</v>
      </c>
    </row>
    <row r="637" spans="8:8">
      <c r="H637">
        <v>0</v>
      </c>
    </row>
    <row r="638" spans="8:8">
      <c r="H638">
        <v>0</v>
      </c>
    </row>
    <row r="639" spans="8:8">
      <c r="H639">
        <v>0</v>
      </c>
    </row>
    <row r="640" spans="8:8">
      <c r="H640">
        <v>0</v>
      </c>
    </row>
    <row r="641" spans="8:8">
      <c r="H641">
        <v>0</v>
      </c>
    </row>
    <row r="642" spans="8:8">
      <c r="H642">
        <v>0</v>
      </c>
    </row>
    <row r="643" spans="8:8">
      <c r="H643">
        <v>0</v>
      </c>
    </row>
    <row r="644" spans="8:8">
      <c r="H644">
        <v>0</v>
      </c>
    </row>
    <row r="645" spans="8:8">
      <c r="H645">
        <v>0</v>
      </c>
    </row>
    <row r="646" spans="8:8">
      <c r="H646">
        <v>0</v>
      </c>
    </row>
    <row r="647" spans="8:8">
      <c r="H647">
        <v>0</v>
      </c>
    </row>
    <row r="648" spans="8:8">
      <c r="H648">
        <v>0</v>
      </c>
    </row>
    <row r="649" spans="8:8">
      <c r="H649">
        <v>0</v>
      </c>
    </row>
    <row r="650" spans="8:8">
      <c r="H650">
        <v>0</v>
      </c>
    </row>
    <row r="651" spans="8:8">
      <c r="H651">
        <v>0</v>
      </c>
    </row>
    <row r="652" spans="8:8">
      <c r="H652">
        <v>0</v>
      </c>
    </row>
    <row r="653" spans="8:8">
      <c r="H653">
        <v>0</v>
      </c>
    </row>
    <row r="654" spans="8:8">
      <c r="H654">
        <v>0</v>
      </c>
    </row>
    <row r="655" spans="8:8">
      <c r="H655">
        <v>0</v>
      </c>
    </row>
    <row r="656" spans="8:8">
      <c r="H656">
        <v>0</v>
      </c>
    </row>
    <row r="657" spans="8:8">
      <c r="H657">
        <v>0</v>
      </c>
    </row>
    <row r="658" spans="8:8">
      <c r="H658">
        <v>0</v>
      </c>
    </row>
    <row r="659" spans="8:8">
      <c r="H659">
        <v>0</v>
      </c>
    </row>
    <row r="660" spans="8:8">
      <c r="H660">
        <v>0</v>
      </c>
    </row>
    <row r="661" spans="8:8">
      <c r="H661">
        <v>0</v>
      </c>
    </row>
    <row r="662" spans="8:8">
      <c r="H662">
        <v>0</v>
      </c>
    </row>
    <row r="663" spans="8:8">
      <c r="H663">
        <v>0</v>
      </c>
    </row>
    <row r="664" spans="8:8">
      <c r="H664">
        <v>0</v>
      </c>
    </row>
    <row r="665" spans="8:8">
      <c r="H665">
        <v>0</v>
      </c>
    </row>
    <row r="666" spans="8:8">
      <c r="H666">
        <v>0</v>
      </c>
    </row>
    <row r="667" spans="8:8">
      <c r="H667">
        <v>0</v>
      </c>
    </row>
    <row r="668" spans="8:8">
      <c r="H668">
        <v>0</v>
      </c>
    </row>
    <row r="669" spans="8:8">
      <c r="H669">
        <v>0</v>
      </c>
    </row>
    <row r="670" spans="8:8">
      <c r="H670">
        <v>0</v>
      </c>
    </row>
    <row r="671" spans="8:8">
      <c r="H671">
        <v>0</v>
      </c>
    </row>
    <row r="672" spans="8:8">
      <c r="H672">
        <v>0</v>
      </c>
    </row>
    <row r="673" spans="8:8">
      <c r="H673">
        <v>0</v>
      </c>
    </row>
    <row r="674" spans="8:8">
      <c r="H674">
        <v>0</v>
      </c>
    </row>
    <row r="675" spans="8:8">
      <c r="H675">
        <v>0</v>
      </c>
    </row>
    <row r="676" spans="8:8">
      <c r="H676">
        <v>0</v>
      </c>
    </row>
    <row r="677" spans="8:8">
      <c r="H677">
        <v>0</v>
      </c>
    </row>
    <row r="678" spans="8:8">
      <c r="H678">
        <v>0</v>
      </c>
    </row>
    <row r="679" spans="8:8">
      <c r="H679">
        <v>0</v>
      </c>
    </row>
    <row r="680" spans="8:8">
      <c r="H680">
        <v>0</v>
      </c>
    </row>
    <row r="681" spans="8:8">
      <c r="H681">
        <v>0</v>
      </c>
    </row>
    <row r="682" spans="8:8">
      <c r="H682">
        <v>0</v>
      </c>
    </row>
    <row r="683" spans="8:8">
      <c r="H683">
        <v>0</v>
      </c>
    </row>
    <row r="684" spans="8:8">
      <c r="H684">
        <v>0</v>
      </c>
    </row>
    <row r="685" spans="8:8">
      <c r="H685">
        <v>0</v>
      </c>
    </row>
    <row r="686" spans="8:8">
      <c r="H686">
        <v>0</v>
      </c>
    </row>
    <row r="687" spans="8:8">
      <c r="H687">
        <v>0</v>
      </c>
    </row>
    <row r="688" spans="8:8">
      <c r="H688">
        <v>0</v>
      </c>
    </row>
    <row r="689" spans="8:8">
      <c r="H689">
        <v>0</v>
      </c>
    </row>
    <row r="690" spans="8:8">
      <c r="H690">
        <v>0</v>
      </c>
    </row>
    <row r="691" spans="8:8">
      <c r="H691">
        <v>0</v>
      </c>
    </row>
    <row r="692" spans="8:8">
      <c r="H692">
        <v>0</v>
      </c>
    </row>
    <row r="693" spans="8:8">
      <c r="H693">
        <v>0</v>
      </c>
    </row>
    <row r="694" spans="8:8">
      <c r="H694">
        <v>0</v>
      </c>
    </row>
    <row r="695" spans="8:8">
      <c r="H695">
        <v>0</v>
      </c>
    </row>
    <row r="696" spans="8:8">
      <c r="H696">
        <v>0</v>
      </c>
    </row>
    <row r="697" spans="8:8">
      <c r="H697">
        <v>0</v>
      </c>
    </row>
    <row r="698" spans="8:8">
      <c r="H698">
        <v>0</v>
      </c>
    </row>
    <row r="699" spans="8:8">
      <c r="H699">
        <v>0</v>
      </c>
    </row>
    <row r="700" spans="8:8">
      <c r="H700">
        <v>0</v>
      </c>
    </row>
    <row r="701" spans="8:8">
      <c r="H701">
        <v>0</v>
      </c>
    </row>
    <row r="702" spans="8:8">
      <c r="H702">
        <v>0</v>
      </c>
    </row>
    <row r="703" spans="8:8">
      <c r="H703">
        <v>0</v>
      </c>
    </row>
    <row r="704" spans="8:8">
      <c r="H704">
        <v>0</v>
      </c>
    </row>
    <row r="705" spans="8:8">
      <c r="H705">
        <v>0</v>
      </c>
    </row>
    <row r="706" spans="8:8">
      <c r="H706">
        <v>0</v>
      </c>
    </row>
    <row r="707" spans="8:8">
      <c r="H707">
        <v>0</v>
      </c>
    </row>
    <row r="708" spans="8:8">
      <c r="H708">
        <v>0</v>
      </c>
    </row>
    <row r="709" spans="8:8">
      <c r="H709">
        <v>0</v>
      </c>
    </row>
    <row r="710" spans="8:8">
      <c r="H710">
        <v>0</v>
      </c>
    </row>
    <row r="711" spans="8:8">
      <c r="H711">
        <v>0</v>
      </c>
    </row>
    <row r="712" spans="8:8">
      <c r="H712">
        <v>0</v>
      </c>
    </row>
    <row r="713" spans="8:8">
      <c r="H713">
        <v>0</v>
      </c>
    </row>
    <row r="714" spans="8:8">
      <c r="H714">
        <v>0</v>
      </c>
    </row>
    <row r="715" spans="8:8">
      <c r="H715">
        <v>0</v>
      </c>
    </row>
    <row r="716" spans="8:8">
      <c r="H716">
        <v>0</v>
      </c>
    </row>
    <row r="717" spans="8:8">
      <c r="H717">
        <v>0</v>
      </c>
    </row>
    <row r="718" spans="8:8">
      <c r="H718">
        <v>0</v>
      </c>
    </row>
    <row r="719" spans="8:8">
      <c r="H719">
        <v>0</v>
      </c>
    </row>
    <row r="720" spans="8:8">
      <c r="H720">
        <v>0</v>
      </c>
    </row>
    <row r="721" spans="8:8">
      <c r="H721">
        <v>0</v>
      </c>
    </row>
    <row r="722" spans="8:8">
      <c r="H722">
        <v>0</v>
      </c>
    </row>
    <row r="723" spans="8:8">
      <c r="H723">
        <v>0</v>
      </c>
    </row>
    <row r="724" spans="8:8">
      <c r="H724">
        <v>0</v>
      </c>
    </row>
    <row r="725" spans="8:8">
      <c r="H725">
        <v>0</v>
      </c>
    </row>
    <row r="726" spans="8:8">
      <c r="H726">
        <v>0</v>
      </c>
    </row>
    <row r="727" spans="8:8">
      <c r="H727">
        <v>0</v>
      </c>
    </row>
    <row r="728" spans="8:8">
      <c r="H728">
        <v>0</v>
      </c>
    </row>
    <row r="729" spans="8:8">
      <c r="H729">
        <v>0</v>
      </c>
    </row>
    <row r="730" spans="8:8">
      <c r="H730">
        <v>0</v>
      </c>
    </row>
    <row r="731" spans="8:8">
      <c r="H731">
        <v>0</v>
      </c>
    </row>
    <row r="732" spans="8:8">
      <c r="H732">
        <v>0</v>
      </c>
    </row>
    <row r="733" spans="8:8">
      <c r="H733">
        <v>0</v>
      </c>
    </row>
    <row r="734" spans="8:8">
      <c r="H734">
        <v>0</v>
      </c>
    </row>
    <row r="735" spans="8:8">
      <c r="H735">
        <v>0</v>
      </c>
    </row>
    <row r="736" spans="8:8">
      <c r="H736">
        <v>0</v>
      </c>
    </row>
    <row r="737" spans="8:8">
      <c r="H737">
        <v>0</v>
      </c>
    </row>
    <row r="738" spans="8:8">
      <c r="H738">
        <v>0</v>
      </c>
    </row>
    <row r="739" spans="8:8">
      <c r="H739">
        <v>0</v>
      </c>
    </row>
    <row r="740" spans="8:8">
      <c r="H740">
        <v>0</v>
      </c>
    </row>
    <row r="741" spans="8:8">
      <c r="H741">
        <v>0</v>
      </c>
    </row>
    <row r="742" spans="8:8">
      <c r="H742">
        <v>0</v>
      </c>
    </row>
    <row r="743" spans="8:8">
      <c r="H743">
        <v>0</v>
      </c>
    </row>
    <row r="744" spans="8:8">
      <c r="H744">
        <v>0</v>
      </c>
    </row>
    <row r="745" spans="8:8">
      <c r="H745">
        <v>0</v>
      </c>
    </row>
    <row r="746" spans="8:8">
      <c r="H746">
        <v>0</v>
      </c>
    </row>
    <row r="747" spans="8:8">
      <c r="H747">
        <v>0</v>
      </c>
    </row>
    <row r="748" spans="8:8">
      <c r="H748">
        <v>0</v>
      </c>
    </row>
    <row r="749" spans="8:8">
      <c r="H749">
        <v>0</v>
      </c>
    </row>
    <row r="750" spans="8:8">
      <c r="H750">
        <v>0</v>
      </c>
    </row>
    <row r="751" spans="8:8">
      <c r="H751">
        <v>0</v>
      </c>
    </row>
    <row r="752" spans="8:8">
      <c r="H752">
        <v>0</v>
      </c>
    </row>
    <row r="753" spans="8:8">
      <c r="H753">
        <v>0</v>
      </c>
    </row>
    <row r="754" spans="8:8">
      <c r="H754">
        <v>0</v>
      </c>
    </row>
    <row r="755" spans="8:8">
      <c r="H755">
        <v>0</v>
      </c>
    </row>
    <row r="756" spans="8:8">
      <c r="H756">
        <v>0</v>
      </c>
    </row>
    <row r="757" spans="8:8">
      <c r="H757">
        <v>0</v>
      </c>
    </row>
    <row r="758" spans="8:8">
      <c r="H758">
        <v>0</v>
      </c>
    </row>
    <row r="759" spans="8:8">
      <c r="H759">
        <v>0</v>
      </c>
    </row>
    <row r="760" spans="8:8">
      <c r="H760">
        <v>0</v>
      </c>
    </row>
    <row r="761" spans="8:8">
      <c r="H761">
        <v>0</v>
      </c>
    </row>
    <row r="762" spans="8:8">
      <c r="H762">
        <v>0</v>
      </c>
    </row>
    <row r="763" spans="8:8">
      <c r="H763">
        <v>0</v>
      </c>
    </row>
    <row r="764" spans="8:8">
      <c r="H764">
        <v>0</v>
      </c>
    </row>
    <row r="765" spans="8:8">
      <c r="H765">
        <v>0</v>
      </c>
    </row>
    <row r="766" spans="8:8">
      <c r="H766">
        <v>0</v>
      </c>
    </row>
    <row r="767" spans="8:8">
      <c r="H767">
        <v>0</v>
      </c>
    </row>
    <row r="768" spans="8:8">
      <c r="H768">
        <v>0</v>
      </c>
    </row>
    <row r="769" spans="8:8">
      <c r="H769">
        <v>0</v>
      </c>
    </row>
    <row r="770" spans="8:8">
      <c r="H770">
        <v>0</v>
      </c>
    </row>
    <row r="771" spans="8:8">
      <c r="H771">
        <v>0</v>
      </c>
    </row>
    <row r="772" spans="8:8">
      <c r="H772">
        <v>0</v>
      </c>
    </row>
    <row r="773" spans="8:8">
      <c r="H773">
        <v>0</v>
      </c>
    </row>
    <row r="774" spans="8:8">
      <c r="H774">
        <v>0</v>
      </c>
    </row>
    <row r="775" spans="8:8">
      <c r="H775">
        <v>0</v>
      </c>
    </row>
    <row r="776" spans="8:8">
      <c r="H776">
        <v>0</v>
      </c>
    </row>
    <row r="777" spans="8:8">
      <c r="H777">
        <v>0</v>
      </c>
    </row>
    <row r="778" spans="8:8">
      <c r="H778">
        <v>0</v>
      </c>
    </row>
    <row r="779" spans="8:8">
      <c r="H779">
        <v>0</v>
      </c>
    </row>
    <row r="780" spans="8:8">
      <c r="H780">
        <v>0</v>
      </c>
    </row>
    <row r="781" spans="8:8">
      <c r="H781">
        <v>0</v>
      </c>
    </row>
    <row r="782" spans="8:8">
      <c r="H782">
        <v>0</v>
      </c>
    </row>
    <row r="783" spans="8:8">
      <c r="H783">
        <v>0</v>
      </c>
    </row>
    <row r="784" spans="8:8">
      <c r="H784">
        <v>0</v>
      </c>
    </row>
    <row r="785" spans="8:8">
      <c r="H785">
        <v>0</v>
      </c>
    </row>
    <row r="786" spans="8:8">
      <c r="H786">
        <v>0</v>
      </c>
    </row>
    <row r="787" spans="8:8">
      <c r="H787">
        <v>0</v>
      </c>
    </row>
    <row r="788" spans="8:8">
      <c r="H788">
        <v>0</v>
      </c>
    </row>
    <row r="789" spans="8:8">
      <c r="H789">
        <v>0</v>
      </c>
    </row>
    <row r="790" spans="8:8">
      <c r="H790">
        <v>0</v>
      </c>
    </row>
    <row r="791" spans="8:8">
      <c r="H791">
        <v>0</v>
      </c>
    </row>
    <row r="792" spans="8:8">
      <c r="H792">
        <v>0</v>
      </c>
    </row>
    <row r="793" spans="8:8">
      <c r="H793">
        <v>0</v>
      </c>
    </row>
    <row r="794" spans="8:8">
      <c r="H794">
        <v>0</v>
      </c>
    </row>
    <row r="795" spans="8:8">
      <c r="H795">
        <v>0</v>
      </c>
    </row>
    <row r="796" spans="8:8">
      <c r="H796">
        <v>0</v>
      </c>
    </row>
    <row r="797" spans="8:8">
      <c r="H797">
        <v>0</v>
      </c>
    </row>
    <row r="798" spans="8:8">
      <c r="H798">
        <v>0</v>
      </c>
    </row>
    <row r="799" spans="8:8">
      <c r="H799">
        <v>0</v>
      </c>
    </row>
    <row r="800" spans="8:8">
      <c r="H800">
        <v>0</v>
      </c>
    </row>
    <row r="801" spans="8:8">
      <c r="H801">
        <v>0</v>
      </c>
    </row>
    <row r="802" spans="8:8">
      <c r="H802">
        <v>0</v>
      </c>
    </row>
    <row r="803" spans="8:8">
      <c r="H803">
        <v>0</v>
      </c>
    </row>
    <row r="804" spans="8:8">
      <c r="H804">
        <v>0</v>
      </c>
    </row>
    <row r="805" spans="8:8">
      <c r="H805">
        <v>0</v>
      </c>
    </row>
    <row r="806" spans="8:8">
      <c r="H806">
        <v>0</v>
      </c>
    </row>
    <row r="807" spans="8:8">
      <c r="H807">
        <v>0</v>
      </c>
    </row>
    <row r="808" spans="8:8">
      <c r="H808">
        <v>0</v>
      </c>
    </row>
    <row r="809" spans="8:8">
      <c r="H809">
        <v>0</v>
      </c>
    </row>
    <row r="810" spans="8:8">
      <c r="H810">
        <v>0</v>
      </c>
    </row>
    <row r="811" spans="8:8">
      <c r="H811">
        <v>0</v>
      </c>
    </row>
    <row r="812" spans="8:8">
      <c r="H812">
        <v>0</v>
      </c>
    </row>
    <row r="813" spans="8:8">
      <c r="H813">
        <v>0</v>
      </c>
    </row>
    <row r="814" spans="8:8">
      <c r="H814">
        <v>0</v>
      </c>
    </row>
    <row r="815" spans="8:8">
      <c r="H815">
        <v>0</v>
      </c>
    </row>
    <row r="816" spans="8:8">
      <c r="H816">
        <v>0</v>
      </c>
    </row>
    <row r="817" spans="8:8">
      <c r="H817">
        <v>0</v>
      </c>
    </row>
    <row r="818" spans="8:8">
      <c r="H818">
        <v>0</v>
      </c>
    </row>
    <row r="819" spans="8:8">
      <c r="H819">
        <v>0</v>
      </c>
    </row>
    <row r="820" spans="8:8">
      <c r="H820">
        <v>0</v>
      </c>
    </row>
    <row r="821" spans="8:8">
      <c r="H821">
        <v>0</v>
      </c>
    </row>
    <row r="822" spans="8:8">
      <c r="H822">
        <v>0</v>
      </c>
    </row>
    <row r="823" spans="8:8">
      <c r="H823">
        <v>0</v>
      </c>
    </row>
    <row r="824" spans="8:8">
      <c r="H824">
        <v>0</v>
      </c>
    </row>
    <row r="825" spans="8:8">
      <c r="H825">
        <v>0</v>
      </c>
    </row>
    <row r="826" spans="8:8">
      <c r="H826">
        <v>0</v>
      </c>
    </row>
    <row r="827" spans="8:8">
      <c r="H827">
        <v>0</v>
      </c>
    </row>
    <row r="828" spans="8:8">
      <c r="H828">
        <v>0</v>
      </c>
    </row>
    <row r="829" spans="8:8">
      <c r="H829">
        <v>0</v>
      </c>
    </row>
    <row r="830" spans="8:8">
      <c r="H830">
        <v>0</v>
      </c>
    </row>
    <row r="831" spans="8:8">
      <c r="H831">
        <v>0</v>
      </c>
    </row>
    <row r="832" spans="8:8">
      <c r="H832">
        <v>0</v>
      </c>
    </row>
    <row r="833" spans="8:8">
      <c r="H833">
        <v>0</v>
      </c>
    </row>
    <row r="834" spans="8:8">
      <c r="H834">
        <v>0</v>
      </c>
    </row>
    <row r="835" spans="8:8">
      <c r="H835">
        <v>0</v>
      </c>
    </row>
    <row r="836" spans="8:8">
      <c r="H836">
        <v>0</v>
      </c>
    </row>
    <row r="837" spans="8:8">
      <c r="H837">
        <v>0</v>
      </c>
    </row>
    <row r="838" spans="8:8">
      <c r="H838">
        <v>0</v>
      </c>
    </row>
    <row r="839" spans="8:8">
      <c r="H839">
        <v>0</v>
      </c>
    </row>
    <row r="840" spans="8:8">
      <c r="H840">
        <v>0</v>
      </c>
    </row>
    <row r="841" spans="8:8">
      <c r="H841">
        <v>0</v>
      </c>
    </row>
    <row r="842" spans="8:8">
      <c r="H842">
        <v>0</v>
      </c>
    </row>
    <row r="843" spans="8:8">
      <c r="H843">
        <v>0</v>
      </c>
    </row>
    <row r="844" spans="8:8">
      <c r="H844">
        <v>0</v>
      </c>
    </row>
    <row r="845" spans="8:8">
      <c r="H845">
        <v>0</v>
      </c>
    </row>
    <row r="846" spans="8:8">
      <c r="H846">
        <v>0</v>
      </c>
    </row>
    <row r="847" spans="8:8">
      <c r="H847">
        <v>0</v>
      </c>
    </row>
    <row r="848" spans="8:8">
      <c r="H848">
        <v>0</v>
      </c>
    </row>
    <row r="849" spans="8:8">
      <c r="H849">
        <v>0</v>
      </c>
    </row>
    <row r="850" spans="8:8">
      <c r="H850">
        <v>0</v>
      </c>
    </row>
    <row r="851" spans="8:8">
      <c r="H851">
        <v>0</v>
      </c>
    </row>
    <row r="852" spans="8:8">
      <c r="H852">
        <v>0</v>
      </c>
    </row>
    <row r="853" spans="8:8">
      <c r="H853">
        <v>0</v>
      </c>
    </row>
    <row r="854" spans="8:8">
      <c r="H854">
        <v>0</v>
      </c>
    </row>
    <row r="855" spans="8:8">
      <c r="H855">
        <v>0</v>
      </c>
    </row>
    <row r="856" spans="8:8">
      <c r="H856">
        <v>0</v>
      </c>
    </row>
    <row r="857" spans="8:8">
      <c r="H857">
        <v>0</v>
      </c>
    </row>
    <row r="858" spans="8:8">
      <c r="H858">
        <v>0</v>
      </c>
    </row>
    <row r="859" spans="8:8">
      <c r="H859">
        <v>0</v>
      </c>
    </row>
    <row r="860" spans="8:8">
      <c r="H860">
        <v>0</v>
      </c>
    </row>
    <row r="861" spans="8:8">
      <c r="H861">
        <v>0</v>
      </c>
    </row>
    <row r="862" spans="8:8">
      <c r="H862">
        <v>0</v>
      </c>
    </row>
    <row r="863" spans="8:8">
      <c r="H863">
        <v>0</v>
      </c>
    </row>
    <row r="864" spans="8:8">
      <c r="H864">
        <v>0</v>
      </c>
    </row>
    <row r="865" spans="8:8">
      <c r="H865">
        <v>0</v>
      </c>
    </row>
    <row r="866" spans="8:8">
      <c r="H866">
        <v>0</v>
      </c>
    </row>
    <row r="867" spans="8:8">
      <c r="H867">
        <v>0</v>
      </c>
    </row>
    <row r="868" spans="8:8">
      <c r="H868">
        <v>0</v>
      </c>
    </row>
    <row r="869" spans="8:8">
      <c r="H869">
        <v>0</v>
      </c>
    </row>
    <row r="870" spans="8:8">
      <c r="H870">
        <v>0</v>
      </c>
    </row>
    <row r="871" spans="8:8">
      <c r="H871">
        <v>0</v>
      </c>
    </row>
    <row r="872" spans="8:8">
      <c r="H872">
        <v>0</v>
      </c>
    </row>
    <row r="873" spans="8:8">
      <c r="H873">
        <v>0</v>
      </c>
    </row>
    <row r="874" spans="8:8">
      <c r="H874">
        <v>0</v>
      </c>
    </row>
    <row r="875" spans="8:8">
      <c r="H875">
        <v>0</v>
      </c>
    </row>
    <row r="876" spans="8:8">
      <c r="H876">
        <v>0</v>
      </c>
    </row>
    <row r="877" spans="8:8">
      <c r="H877">
        <v>0</v>
      </c>
    </row>
    <row r="878" spans="8:8">
      <c r="H878">
        <v>0</v>
      </c>
    </row>
    <row r="879" spans="8:8">
      <c r="H879">
        <v>0</v>
      </c>
    </row>
    <row r="880" spans="8:8">
      <c r="H880">
        <v>0</v>
      </c>
    </row>
    <row r="881" spans="8:8">
      <c r="H881">
        <v>0</v>
      </c>
    </row>
    <row r="882" spans="8:8">
      <c r="H882">
        <v>0</v>
      </c>
    </row>
    <row r="883" spans="8:8">
      <c r="H883">
        <v>0</v>
      </c>
    </row>
    <row r="884" spans="8:8">
      <c r="H884">
        <v>0</v>
      </c>
    </row>
    <row r="885" spans="8:8">
      <c r="H885">
        <v>0</v>
      </c>
    </row>
    <row r="886" spans="8:8">
      <c r="H886">
        <v>0</v>
      </c>
    </row>
    <row r="887" spans="8:8">
      <c r="H887">
        <v>0</v>
      </c>
    </row>
    <row r="888" spans="8:8">
      <c r="H888">
        <v>0</v>
      </c>
    </row>
    <row r="889" spans="8:8">
      <c r="H889">
        <v>0</v>
      </c>
    </row>
    <row r="890" spans="8:8">
      <c r="H890">
        <v>0</v>
      </c>
    </row>
    <row r="891" spans="8:8">
      <c r="H891">
        <v>0</v>
      </c>
    </row>
    <row r="892" spans="8:8">
      <c r="H892">
        <v>0</v>
      </c>
    </row>
    <row r="893" spans="8:8">
      <c r="H893">
        <v>0</v>
      </c>
    </row>
    <row r="894" spans="8:8">
      <c r="H894">
        <v>0</v>
      </c>
    </row>
    <row r="895" spans="8:8">
      <c r="H895">
        <v>0</v>
      </c>
    </row>
    <row r="896" spans="8:8">
      <c r="H896">
        <v>0</v>
      </c>
    </row>
    <row r="897" spans="8:8">
      <c r="H897">
        <v>0</v>
      </c>
    </row>
    <row r="898" spans="8:8">
      <c r="H898">
        <v>0</v>
      </c>
    </row>
    <row r="899" spans="8:8">
      <c r="H899">
        <v>0</v>
      </c>
    </row>
    <row r="900" spans="8:8">
      <c r="H900">
        <v>0</v>
      </c>
    </row>
    <row r="901" spans="8:8">
      <c r="H901">
        <v>0</v>
      </c>
    </row>
    <row r="902" spans="8:8">
      <c r="H902">
        <v>0</v>
      </c>
    </row>
    <row r="903" spans="8:8">
      <c r="H903">
        <v>0</v>
      </c>
    </row>
    <row r="904" spans="8:8">
      <c r="H904">
        <v>0</v>
      </c>
    </row>
    <row r="905" spans="8:8">
      <c r="H905">
        <v>0</v>
      </c>
    </row>
    <row r="906" spans="8:8">
      <c r="H906">
        <v>0</v>
      </c>
    </row>
    <row r="907" spans="8:8">
      <c r="H907">
        <v>0</v>
      </c>
    </row>
    <row r="908" spans="8:8">
      <c r="H908">
        <v>0</v>
      </c>
    </row>
    <row r="909" spans="8:8">
      <c r="H909">
        <v>0</v>
      </c>
    </row>
    <row r="910" spans="8:8">
      <c r="H910">
        <v>0</v>
      </c>
    </row>
    <row r="911" spans="8:8">
      <c r="H911">
        <v>0</v>
      </c>
    </row>
    <row r="912" spans="8:8">
      <c r="H912">
        <v>0</v>
      </c>
    </row>
    <row r="913" spans="8:8">
      <c r="H913">
        <v>0</v>
      </c>
    </row>
    <row r="914" spans="8:8">
      <c r="H914">
        <v>0</v>
      </c>
    </row>
    <row r="915" spans="8:8">
      <c r="H915">
        <v>0</v>
      </c>
    </row>
    <row r="916" spans="8:8">
      <c r="H916">
        <v>0</v>
      </c>
    </row>
    <row r="917" spans="8:8">
      <c r="H917">
        <v>0</v>
      </c>
    </row>
    <row r="918" spans="8:8">
      <c r="H918">
        <v>0</v>
      </c>
    </row>
    <row r="919" spans="8:8">
      <c r="H919">
        <v>0</v>
      </c>
    </row>
    <row r="920" spans="8:8">
      <c r="H920">
        <v>0</v>
      </c>
    </row>
    <row r="921" spans="8:8">
      <c r="H921">
        <v>0</v>
      </c>
    </row>
    <row r="922" spans="8:8">
      <c r="H922">
        <v>0</v>
      </c>
    </row>
    <row r="923" spans="8:8">
      <c r="H923">
        <v>0</v>
      </c>
    </row>
    <row r="924" spans="8:8">
      <c r="H924">
        <v>0</v>
      </c>
    </row>
    <row r="925" spans="8:8">
      <c r="H925">
        <v>0</v>
      </c>
    </row>
    <row r="926" spans="8:8">
      <c r="H926">
        <v>0</v>
      </c>
    </row>
    <row r="927" spans="8:8">
      <c r="H927">
        <v>0</v>
      </c>
    </row>
    <row r="928" spans="8:8">
      <c r="H928">
        <v>0</v>
      </c>
    </row>
    <row r="929" spans="8:8">
      <c r="H929">
        <v>0</v>
      </c>
    </row>
    <row r="930" spans="8:8">
      <c r="H930">
        <v>0</v>
      </c>
    </row>
    <row r="931" spans="8:8">
      <c r="H931">
        <v>0</v>
      </c>
    </row>
    <row r="932" spans="8:8">
      <c r="H932">
        <v>0</v>
      </c>
    </row>
    <row r="933" spans="8:8">
      <c r="H933">
        <v>0</v>
      </c>
    </row>
    <row r="934" spans="8:8">
      <c r="H934">
        <v>0</v>
      </c>
    </row>
    <row r="935" spans="8:8">
      <c r="H935">
        <v>0</v>
      </c>
    </row>
    <row r="936" spans="8:8">
      <c r="H936">
        <v>0</v>
      </c>
    </row>
    <row r="937" spans="8:8">
      <c r="H937">
        <v>0</v>
      </c>
    </row>
    <row r="938" spans="8:8">
      <c r="H938">
        <v>0</v>
      </c>
    </row>
    <row r="939" spans="8:8">
      <c r="H939">
        <v>0</v>
      </c>
    </row>
    <row r="940" spans="8:8">
      <c r="H940">
        <v>0</v>
      </c>
    </row>
    <row r="941" spans="8:8">
      <c r="H941">
        <v>0</v>
      </c>
    </row>
    <row r="942" spans="8:8">
      <c r="H942">
        <v>0</v>
      </c>
    </row>
    <row r="943" spans="8:8">
      <c r="H943">
        <v>0</v>
      </c>
    </row>
    <row r="944" spans="8:8">
      <c r="H944">
        <v>0</v>
      </c>
    </row>
    <row r="945" spans="8:8">
      <c r="H945">
        <v>0</v>
      </c>
    </row>
    <row r="946" spans="8:8">
      <c r="H946">
        <v>0</v>
      </c>
    </row>
    <row r="947" spans="8:8">
      <c r="H947">
        <v>0</v>
      </c>
    </row>
    <row r="948" spans="8:8">
      <c r="H948">
        <v>0</v>
      </c>
    </row>
    <row r="949" spans="8:8">
      <c r="H949">
        <v>0</v>
      </c>
    </row>
    <row r="950" spans="8:8">
      <c r="H950">
        <v>0</v>
      </c>
    </row>
    <row r="951" spans="8:8">
      <c r="H951">
        <v>0</v>
      </c>
    </row>
    <row r="952" spans="8:8">
      <c r="H952">
        <v>0</v>
      </c>
    </row>
    <row r="953" spans="8:8">
      <c r="H953">
        <v>0</v>
      </c>
    </row>
    <row r="954" spans="8:8">
      <c r="H954">
        <v>0</v>
      </c>
    </row>
    <row r="955" spans="8:8">
      <c r="H955">
        <v>0</v>
      </c>
    </row>
    <row r="956" spans="8:8">
      <c r="H956">
        <v>0</v>
      </c>
    </row>
    <row r="957" spans="8:8">
      <c r="H957">
        <v>0</v>
      </c>
    </row>
    <row r="958" spans="8:8">
      <c r="H958">
        <v>0</v>
      </c>
    </row>
    <row r="959" spans="8:8">
      <c r="H959">
        <v>0</v>
      </c>
    </row>
    <row r="960" spans="8:8">
      <c r="H960">
        <v>0</v>
      </c>
    </row>
    <row r="961" spans="8:8">
      <c r="H961">
        <v>0</v>
      </c>
    </row>
    <row r="962" spans="8:8">
      <c r="H962">
        <v>0</v>
      </c>
    </row>
    <row r="963" spans="8:8">
      <c r="H963">
        <v>0</v>
      </c>
    </row>
    <row r="964" spans="8:8">
      <c r="H964">
        <v>0</v>
      </c>
    </row>
    <row r="965" spans="8:8">
      <c r="H965">
        <v>0</v>
      </c>
    </row>
    <row r="966" spans="8:8">
      <c r="H966">
        <v>0</v>
      </c>
    </row>
    <row r="967" spans="8:8">
      <c r="H967">
        <v>0</v>
      </c>
    </row>
    <row r="968" spans="8:8">
      <c r="H968">
        <v>0</v>
      </c>
    </row>
    <row r="969" spans="8:8">
      <c r="H969">
        <v>0</v>
      </c>
    </row>
    <row r="970" spans="8:8">
      <c r="H970">
        <v>0</v>
      </c>
    </row>
    <row r="971" spans="8:8">
      <c r="H971">
        <v>0</v>
      </c>
    </row>
    <row r="972" spans="8:8">
      <c r="H972">
        <v>0</v>
      </c>
    </row>
    <row r="973" spans="8:8">
      <c r="H973">
        <v>0</v>
      </c>
    </row>
    <row r="974" spans="8:8">
      <c r="H974">
        <v>0</v>
      </c>
    </row>
    <row r="975" spans="8:8">
      <c r="H975">
        <v>0</v>
      </c>
    </row>
    <row r="976" spans="8:8">
      <c r="H976">
        <v>0</v>
      </c>
    </row>
    <row r="977" spans="8:8">
      <c r="H977">
        <v>0</v>
      </c>
    </row>
    <row r="978" spans="8:8">
      <c r="H978">
        <v>0</v>
      </c>
    </row>
    <row r="979" spans="8:8">
      <c r="H979">
        <v>0</v>
      </c>
    </row>
    <row r="980" spans="8:8">
      <c r="H980">
        <v>0</v>
      </c>
    </row>
    <row r="981" spans="8:8">
      <c r="H981">
        <v>0</v>
      </c>
    </row>
    <row r="982" spans="8:8">
      <c r="H982">
        <v>0</v>
      </c>
    </row>
    <row r="983" spans="8:8">
      <c r="H983">
        <v>0</v>
      </c>
    </row>
    <row r="984" spans="8:8">
      <c r="H984">
        <v>0</v>
      </c>
    </row>
    <row r="985" spans="8:8">
      <c r="H985">
        <v>0</v>
      </c>
    </row>
    <row r="986" spans="8:8">
      <c r="H986">
        <v>0</v>
      </c>
    </row>
    <row r="987" spans="8:8">
      <c r="H987">
        <v>0</v>
      </c>
    </row>
    <row r="988" spans="8:8">
      <c r="H988">
        <v>0</v>
      </c>
    </row>
    <row r="989" spans="8:8">
      <c r="H989">
        <v>0</v>
      </c>
    </row>
    <row r="990" spans="8:8">
      <c r="H990">
        <v>0</v>
      </c>
    </row>
    <row r="991" spans="8:8">
      <c r="H991">
        <v>0</v>
      </c>
    </row>
    <row r="992" spans="8:8">
      <c r="H992">
        <v>0</v>
      </c>
    </row>
    <row r="993" spans="8:8">
      <c r="H993">
        <v>0</v>
      </c>
    </row>
    <row r="994" spans="8:8">
      <c r="H994">
        <v>0</v>
      </c>
    </row>
    <row r="995" spans="8:8">
      <c r="H995">
        <v>0</v>
      </c>
    </row>
    <row r="996" spans="8:8">
      <c r="H996">
        <v>0</v>
      </c>
    </row>
    <row r="997" spans="8:8">
      <c r="H997">
        <v>0</v>
      </c>
    </row>
    <row r="998" spans="8:8">
      <c r="H998">
        <v>0</v>
      </c>
    </row>
    <row r="999" spans="8:8">
      <c r="H999">
        <v>0</v>
      </c>
    </row>
    <row r="1000" spans="8:8">
      <c r="H1000">
        <v>0</v>
      </c>
    </row>
    <row r="1001" spans="8:8">
      <c r="H1001">
        <v>0</v>
      </c>
    </row>
    <row r="1002" spans="8:8">
      <c r="H1002">
        <v>0</v>
      </c>
    </row>
    <row r="1003" spans="8:8">
      <c r="H1003">
        <v>0</v>
      </c>
    </row>
    <row r="1004" spans="8:8">
      <c r="H1004">
        <v>0</v>
      </c>
    </row>
    <row r="1005" spans="8:8">
      <c r="H1005">
        <v>0</v>
      </c>
    </row>
    <row r="1006" spans="8:8">
      <c r="H1006">
        <v>0</v>
      </c>
    </row>
    <row r="1007" spans="8:8">
      <c r="H1007">
        <v>0</v>
      </c>
    </row>
    <row r="1008" spans="8:8">
      <c r="H1008">
        <v>0</v>
      </c>
    </row>
    <row r="1009" spans="8:8">
      <c r="H1009">
        <v>0</v>
      </c>
    </row>
    <row r="1010" spans="8:8">
      <c r="H1010">
        <v>0</v>
      </c>
    </row>
    <row r="1011" spans="8:8">
      <c r="H1011">
        <v>0</v>
      </c>
    </row>
    <row r="1012" spans="8:8">
      <c r="H1012">
        <v>0</v>
      </c>
    </row>
    <row r="1013" spans="8:8">
      <c r="H1013">
        <v>0</v>
      </c>
    </row>
    <row r="1014" spans="8:8">
      <c r="H1014">
        <v>0</v>
      </c>
    </row>
    <row r="1015" spans="8:8">
      <c r="H1015">
        <v>0</v>
      </c>
    </row>
    <row r="1016" spans="8:8">
      <c r="H1016">
        <v>0</v>
      </c>
    </row>
    <row r="1017" spans="8:8">
      <c r="H1017">
        <v>0</v>
      </c>
    </row>
    <row r="1018" spans="8:8">
      <c r="H1018">
        <v>0</v>
      </c>
    </row>
    <row r="1019" spans="8:8">
      <c r="H1019">
        <v>0</v>
      </c>
    </row>
    <row r="1020" spans="8:8">
      <c r="H1020">
        <v>0</v>
      </c>
    </row>
    <row r="1021" spans="8:8">
      <c r="H1021">
        <v>0</v>
      </c>
    </row>
    <row r="1022" spans="8:8">
      <c r="H1022">
        <v>0</v>
      </c>
    </row>
    <row r="1023" spans="8:8">
      <c r="H1023">
        <v>0</v>
      </c>
    </row>
    <row r="1024" spans="8:8">
      <c r="H1024">
        <v>0</v>
      </c>
    </row>
    <row r="1025" spans="8:8">
      <c r="H1025">
        <v>0</v>
      </c>
    </row>
    <row r="1026" spans="8:8">
      <c r="H1026">
        <v>0</v>
      </c>
    </row>
    <row r="1027" spans="8:8">
      <c r="H1027">
        <v>0</v>
      </c>
    </row>
    <row r="1028" spans="8:8">
      <c r="H1028">
        <v>0</v>
      </c>
    </row>
    <row r="1029" spans="8:8">
      <c r="H1029">
        <v>0</v>
      </c>
    </row>
    <row r="1030" spans="8:8">
      <c r="H1030">
        <v>0</v>
      </c>
    </row>
    <row r="1031" spans="8:8">
      <c r="H1031">
        <v>0</v>
      </c>
    </row>
    <row r="1032" spans="8:8">
      <c r="H1032">
        <v>0</v>
      </c>
    </row>
    <row r="1033" spans="8:8">
      <c r="H1033">
        <v>0</v>
      </c>
    </row>
    <row r="1034" spans="8:8">
      <c r="H1034">
        <v>0</v>
      </c>
    </row>
    <row r="1035" spans="8:8">
      <c r="H1035">
        <v>0</v>
      </c>
    </row>
    <row r="1036" spans="8:8">
      <c r="H1036">
        <v>0</v>
      </c>
    </row>
    <row r="1037" spans="8:8">
      <c r="H1037">
        <v>0</v>
      </c>
    </row>
    <row r="1038" spans="8:8">
      <c r="H1038">
        <v>0</v>
      </c>
    </row>
    <row r="1039" spans="8:8">
      <c r="H1039">
        <v>0</v>
      </c>
    </row>
    <row r="1040" spans="8:8">
      <c r="H1040">
        <v>0</v>
      </c>
    </row>
    <row r="1041" spans="8:8">
      <c r="H1041">
        <v>0</v>
      </c>
    </row>
    <row r="1042" spans="8:8">
      <c r="H1042">
        <v>0</v>
      </c>
    </row>
    <row r="1043" spans="8:8">
      <c r="H1043">
        <v>0</v>
      </c>
    </row>
    <row r="1044" spans="8:8">
      <c r="H1044">
        <v>0</v>
      </c>
    </row>
    <row r="1045" spans="8:8">
      <c r="H1045">
        <v>0</v>
      </c>
    </row>
    <row r="1046" spans="8:8">
      <c r="H1046">
        <v>0</v>
      </c>
    </row>
    <row r="1047" spans="8:8">
      <c r="H1047">
        <v>0</v>
      </c>
    </row>
    <row r="1048" spans="8:8">
      <c r="H1048">
        <v>0</v>
      </c>
    </row>
    <row r="1049" spans="8:8">
      <c r="H1049">
        <v>0</v>
      </c>
    </row>
    <row r="1050" spans="8:8">
      <c r="H1050">
        <v>0</v>
      </c>
    </row>
    <row r="1051" spans="8:8">
      <c r="H1051">
        <v>0</v>
      </c>
    </row>
    <row r="1052" spans="8:8">
      <c r="H1052">
        <v>0</v>
      </c>
    </row>
    <row r="1053" spans="8:8">
      <c r="H1053">
        <v>0</v>
      </c>
    </row>
    <row r="1054" spans="8:8">
      <c r="H1054">
        <v>0</v>
      </c>
    </row>
    <row r="1055" spans="8:8">
      <c r="H1055">
        <v>0</v>
      </c>
    </row>
    <row r="1056" spans="8:8">
      <c r="H1056">
        <v>0</v>
      </c>
    </row>
    <row r="1057" spans="8:8">
      <c r="H1057">
        <v>0</v>
      </c>
    </row>
    <row r="1058" spans="8:8">
      <c r="H1058">
        <v>0</v>
      </c>
    </row>
    <row r="1059" spans="8:8">
      <c r="H1059">
        <v>0</v>
      </c>
    </row>
    <row r="1060" spans="8:8">
      <c r="H1060">
        <v>0</v>
      </c>
    </row>
    <row r="1061" spans="8:8">
      <c r="H1061">
        <v>0</v>
      </c>
    </row>
    <row r="1062" spans="8:8">
      <c r="H1062">
        <v>0</v>
      </c>
    </row>
    <row r="1063" spans="8:8">
      <c r="H1063">
        <v>0</v>
      </c>
    </row>
    <row r="1064" spans="8:8">
      <c r="H1064">
        <v>0</v>
      </c>
    </row>
    <row r="1065" spans="8:8">
      <c r="H1065">
        <v>0</v>
      </c>
    </row>
    <row r="1066" spans="8:8">
      <c r="H1066">
        <v>0</v>
      </c>
    </row>
    <row r="1067" spans="8:8">
      <c r="H1067">
        <v>0</v>
      </c>
    </row>
    <row r="1068" spans="8:8">
      <c r="H1068">
        <v>0</v>
      </c>
    </row>
    <row r="1069" spans="8:8">
      <c r="H1069">
        <v>0</v>
      </c>
    </row>
    <row r="1070" spans="8:8">
      <c r="H1070">
        <v>0</v>
      </c>
    </row>
    <row r="1071" spans="8:8">
      <c r="H1071">
        <v>0</v>
      </c>
    </row>
    <row r="1072" spans="8:8">
      <c r="H1072">
        <v>0</v>
      </c>
    </row>
    <row r="1073" spans="8:8">
      <c r="H1073">
        <v>0</v>
      </c>
    </row>
    <row r="1074" spans="8:8">
      <c r="H1074">
        <v>0</v>
      </c>
    </row>
    <row r="1075" spans="8:8">
      <c r="H1075">
        <v>0</v>
      </c>
    </row>
    <row r="1076" spans="8:8">
      <c r="H1076">
        <v>0</v>
      </c>
    </row>
    <row r="1077" spans="8:8">
      <c r="H1077">
        <v>0</v>
      </c>
    </row>
    <row r="1078" spans="8:8">
      <c r="H1078">
        <v>0</v>
      </c>
    </row>
    <row r="1079" spans="8:8">
      <c r="H1079">
        <v>0</v>
      </c>
    </row>
    <row r="1080" spans="8:8">
      <c r="H1080">
        <v>0</v>
      </c>
    </row>
    <row r="1081" spans="8:8">
      <c r="H1081">
        <v>0</v>
      </c>
    </row>
    <row r="1082" spans="8:8">
      <c r="H1082">
        <v>0</v>
      </c>
    </row>
    <row r="1083" spans="8:8">
      <c r="H1083">
        <v>0</v>
      </c>
    </row>
    <row r="1084" spans="8:8">
      <c r="H1084">
        <v>0</v>
      </c>
    </row>
    <row r="1085" spans="8:8">
      <c r="H1085">
        <v>0</v>
      </c>
    </row>
    <row r="1086" spans="8:8">
      <c r="H1086">
        <v>0</v>
      </c>
    </row>
    <row r="1087" spans="8:8">
      <c r="H1087">
        <v>0</v>
      </c>
    </row>
    <row r="1088" spans="8:8">
      <c r="H1088">
        <v>0</v>
      </c>
    </row>
    <row r="1089" spans="8:8">
      <c r="H1089">
        <v>0</v>
      </c>
    </row>
    <row r="1090" spans="8:8">
      <c r="H1090">
        <v>0</v>
      </c>
    </row>
    <row r="1091" spans="8:8">
      <c r="H1091">
        <v>0</v>
      </c>
    </row>
    <row r="1092" spans="8:8">
      <c r="H1092">
        <v>0</v>
      </c>
    </row>
    <row r="1093" spans="8:8">
      <c r="H1093">
        <v>0</v>
      </c>
    </row>
    <row r="1094" spans="8:8">
      <c r="H1094">
        <v>0</v>
      </c>
    </row>
    <row r="1095" spans="8:8">
      <c r="H1095">
        <v>0</v>
      </c>
    </row>
    <row r="1096" spans="8:8">
      <c r="H1096">
        <v>0</v>
      </c>
    </row>
    <row r="1097" spans="8:8">
      <c r="H1097">
        <v>0</v>
      </c>
    </row>
    <row r="1098" spans="8:8">
      <c r="H1098">
        <v>0</v>
      </c>
    </row>
    <row r="1099" spans="8:8">
      <c r="H1099">
        <v>0</v>
      </c>
    </row>
    <row r="1100" spans="8:8">
      <c r="H1100">
        <v>0</v>
      </c>
    </row>
    <row r="1101" spans="8:8">
      <c r="H1101">
        <v>0</v>
      </c>
    </row>
    <row r="1102" spans="8:8">
      <c r="H1102">
        <v>0</v>
      </c>
    </row>
    <row r="1103" spans="8:8">
      <c r="H1103">
        <v>0</v>
      </c>
    </row>
    <row r="1104" spans="8:8">
      <c r="H1104">
        <v>0</v>
      </c>
    </row>
    <row r="1105" spans="8:8">
      <c r="H1105">
        <v>0</v>
      </c>
    </row>
    <row r="1106" spans="8:8">
      <c r="H1106">
        <v>0</v>
      </c>
    </row>
    <row r="1107" spans="8:8">
      <c r="H1107">
        <v>0</v>
      </c>
    </row>
    <row r="1108" spans="8:8">
      <c r="H1108">
        <v>0</v>
      </c>
    </row>
    <row r="1109" spans="8:8">
      <c r="H1109">
        <v>0</v>
      </c>
    </row>
    <row r="1110" spans="8:8">
      <c r="H1110">
        <v>0</v>
      </c>
    </row>
    <row r="1111" spans="8:8">
      <c r="H1111">
        <v>0</v>
      </c>
    </row>
    <row r="1112" spans="8:8">
      <c r="H1112">
        <v>0</v>
      </c>
    </row>
    <row r="1113" spans="8:8">
      <c r="H1113">
        <v>0</v>
      </c>
    </row>
    <row r="1114" spans="8:8">
      <c r="H1114">
        <v>0</v>
      </c>
    </row>
    <row r="1115" spans="8:8">
      <c r="H1115">
        <v>0</v>
      </c>
    </row>
    <row r="1116" spans="8:8">
      <c r="H1116">
        <v>0</v>
      </c>
    </row>
    <row r="1117" spans="8:8">
      <c r="H1117">
        <v>0</v>
      </c>
    </row>
    <row r="1118" spans="8:8">
      <c r="H1118">
        <v>0</v>
      </c>
    </row>
    <row r="1119" spans="8:8">
      <c r="H1119">
        <v>0</v>
      </c>
    </row>
    <row r="1120" spans="8:8">
      <c r="H1120">
        <v>0</v>
      </c>
    </row>
    <row r="1121" spans="8:8">
      <c r="H1121">
        <v>0</v>
      </c>
    </row>
    <row r="1122" spans="8:8">
      <c r="H1122">
        <v>0</v>
      </c>
    </row>
    <row r="1123" spans="8:8">
      <c r="H1123">
        <v>0</v>
      </c>
    </row>
    <row r="1124" spans="8:8">
      <c r="H1124">
        <v>0</v>
      </c>
    </row>
    <row r="1125" spans="8:8">
      <c r="H1125">
        <v>0</v>
      </c>
    </row>
    <row r="1126" spans="8:8">
      <c r="H1126">
        <v>0</v>
      </c>
    </row>
    <row r="1127" spans="8:8">
      <c r="H1127">
        <v>0</v>
      </c>
    </row>
    <row r="1128" spans="8:8">
      <c r="H1128">
        <v>0</v>
      </c>
    </row>
    <row r="1129" spans="8:8">
      <c r="H1129">
        <v>0</v>
      </c>
    </row>
    <row r="1130" spans="8:8">
      <c r="H1130">
        <v>0</v>
      </c>
    </row>
    <row r="1131" spans="8:8">
      <c r="H1131">
        <v>0</v>
      </c>
    </row>
    <row r="1132" spans="8:8">
      <c r="H1132">
        <v>0</v>
      </c>
    </row>
    <row r="1133" spans="8:8">
      <c r="H1133">
        <v>0</v>
      </c>
    </row>
    <row r="1134" spans="8:8">
      <c r="H1134">
        <v>0</v>
      </c>
    </row>
    <row r="1135" spans="8:8">
      <c r="H1135">
        <v>0</v>
      </c>
    </row>
    <row r="1136" spans="8:8">
      <c r="H1136">
        <v>0</v>
      </c>
    </row>
    <row r="1137" spans="8:8">
      <c r="H1137">
        <v>0</v>
      </c>
    </row>
    <row r="1138" spans="8:8">
      <c r="H1138">
        <v>0</v>
      </c>
    </row>
    <row r="1139" spans="8:8">
      <c r="H1139">
        <v>0</v>
      </c>
    </row>
    <row r="1140" spans="8:8">
      <c r="H1140">
        <v>0</v>
      </c>
    </row>
    <row r="1141" spans="8:8">
      <c r="H1141">
        <v>0</v>
      </c>
    </row>
    <row r="1142" spans="8:8">
      <c r="H1142">
        <v>0</v>
      </c>
    </row>
    <row r="1143" spans="8:8">
      <c r="H1143">
        <v>0</v>
      </c>
    </row>
    <row r="1144" spans="8:8">
      <c r="H1144">
        <v>0</v>
      </c>
    </row>
    <row r="1145" spans="8:8">
      <c r="H1145">
        <v>0</v>
      </c>
    </row>
    <row r="1146" spans="8:8">
      <c r="H1146">
        <v>0</v>
      </c>
    </row>
    <row r="1147" spans="8:8">
      <c r="H1147">
        <v>0</v>
      </c>
    </row>
    <row r="1148" spans="8:8">
      <c r="H1148">
        <v>0</v>
      </c>
    </row>
    <row r="1149" spans="8:8">
      <c r="H1149">
        <v>0</v>
      </c>
    </row>
    <row r="1150" spans="8:8">
      <c r="H1150">
        <v>0</v>
      </c>
    </row>
    <row r="1151" spans="8:8">
      <c r="H1151">
        <v>0</v>
      </c>
    </row>
    <row r="1152" spans="8:8">
      <c r="H1152">
        <v>0</v>
      </c>
    </row>
    <row r="1153" spans="8:8">
      <c r="H1153">
        <v>0</v>
      </c>
    </row>
    <row r="1154" spans="8:8">
      <c r="H1154">
        <v>0</v>
      </c>
    </row>
    <row r="1155" spans="8:8">
      <c r="H1155">
        <v>0</v>
      </c>
    </row>
    <row r="1156" spans="8:8">
      <c r="H1156">
        <v>0</v>
      </c>
    </row>
    <row r="1157" spans="8:8">
      <c r="H1157">
        <v>0</v>
      </c>
    </row>
    <row r="1158" spans="8:8">
      <c r="H1158">
        <v>0</v>
      </c>
    </row>
    <row r="1159" spans="8:8">
      <c r="H1159">
        <v>0</v>
      </c>
    </row>
    <row r="1160" spans="8:8">
      <c r="H1160">
        <v>0</v>
      </c>
    </row>
    <row r="1161" spans="8:8">
      <c r="H1161">
        <v>0</v>
      </c>
    </row>
    <row r="1162" spans="8:8">
      <c r="H1162">
        <v>0</v>
      </c>
    </row>
    <row r="1163" spans="8:8">
      <c r="H1163">
        <v>0</v>
      </c>
    </row>
    <row r="1164" spans="8:8">
      <c r="H1164">
        <v>0</v>
      </c>
    </row>
    <row r="1165" spans="8:8">
      <c r="H1165">
        <v>0</v>
      </c>
    </row>
    <row r="1166" spans="8:8">
      <c r="H1166">
        <v>0</v>
      </c>
    </row>
    <row r="1167" spans="8:8">
      <c r="H1167">
        <v>0</v>
      </c>
    </row>
    <row r="1168" spans="8:8">
      <c r="H1168">
        <v>0</v>
      </c>
    </row>
    <row r="1169" spans="8:8">
      <c r="H1169">
        <v>0</v>
      </c>
    </row>
    <row r="1170" spans="8:8">
      <c r="H1170">
        <v>0</v>
      </c>
    </row>
    <row r="1171" spans="8:8">
      <c r="H1171">
        <v>0</v>
      </c>
    </row>
    <row r="1172" spans="8:8">
      <c r="H1172">
        <v>0</v>
      </c>
    </row>
    <row r="1173" spans="8:8">
      <c r="H1173">
        <v>0</v>
      </c>
    </row>
    <row r="1174" spans="8:8">
      <c r="H1174">
        <v>0</v>
      </c>
    </row>
    <row r="1175" spans="8:8">
      <c r="H1175">
        <v>0</v>
      </c>
    </row>
    <row r="1176" spans="8:8">
      <c r="H1176">
        <v>0</v>
      </c>
    </row>
    <row r="1177" spans="8:8">
      <c r="H1177">
        <v>0</v>
      </c>
    </row>
    <row r="1178" spans="8:8">
      <c r="H1178">
        <v>0</v>
      </c>
    </row>
    <row r="1179" spans="8:8">
      <c r="H1179">
        <v>0</v>
      </c>
    </row>
    <row r="1180" spans="8:8">
      <c r="H1180">
        <v>0</v>
      </c>
    </row>
    <row r="1181" spans="8:8">
      <c r="H1181">
        <v>0</v>
      </c>
    </row>
    <row r="1182" spans="8:8">
      <c r="H1182">
        <v>0</v>
      </c>
    </row>
    <row r="1183" spans="8:8">
      <c r="H1183">
        <v>0</v>
      </c>
    </row>
    <row r="1184" spans="8:8">
      <c r="H1184">
        <v>0</v>
      </c>
    </row>
    <row r="1185" spans="8:8">
      <c r="H1185">
        <v>0</v>
      </c>
    </row>
    <row r="1186" spans="8:8">
      <c r="H1186">
        <v>0</v>
      </c>
    </row>
    <row r="1187" spans="8:8">
      <c r="H1187">
        <v>0</v>
      </c>
    </row>
    <row r="1188" spans="8:8">
      <c r="H1188">
        <v>0</v>
      </c>
    </row>
    <row r="1189" spans="8:8">
      <c r="H1189">
        <v>0</v>
      </c>
    </row>
    <row r="1190" spans="8:8">
      <c r="H1190">
        <v>0</v>
      </c>
    </row>
    <row r="1191" spans="8:8">
      <c r="H1191">
        <v>0</v>
      </c>
    </row>
    <row r="1192" spans="8:8">
      <c r="H1192">
        <v>0</v>
      </c>
    </row>
    <row r="1193" spans="8:8">
      <c r="H1193">
        <v>0</v>
      </c>
    </row>
    <row r="1194" spans="8:8">
      <c r="H1194">
        <v>0</v>
      </c>
    </row>
    <row r="1195" spans="8:8">
      <c r="H1195">
        <v>0</v>
      </c>
    </row>
    <row r="1196" spans="8:8">
      <c r="H1196">
        <v>0</v>
      </c>
    </row>
    <row r="1197" spans="8:8">
      <c r="H1197">
        <v>0</v>
      </c>
    </row>
    <row r="1198" spans="8:8">
      <c r="H1198">
        <v>0</v>
      </c>
    </row>
    <row r="1199" spans="8:8">
      <c r="H1199">
        <v>0</v>
      </c>
    </row>
    <row r="1200" spans="8:8">
      <c r="H1200">
        <v>0</v>
      </c>
    </row>
    <row r="1201" spans="8:8">
      <c r="H1201">
        <v>0</v>
      </c>
    </row>
    <row r="1202" spans="8:8">
      <c r="H1202">
        <v>0</v>
      </c>
    </row>
    <row r="1203" spans="8:8">
      <c r="H1203">
        <v>0</v>
      </c>
    </row>
    <row r="1204" spans="8:8">
      <c r="H1204">
        <v>0</v>
      </c>
    </row>
    <row r="1205" spans="8:8">
      <c r="H1205">
        <v>0</v>
      </c>
    </row>
    <row r="1206" spans="8:8">
      <c r="H1206">
        <v>0</v>
      </c>
    </row>
    <row r="1207" spans="8:8">
      <c r="H1207">
        <v>0</v>
      </c>
    </row>
    <row r="1208" spans="8:8">
      <c r="H1208">
        <v>0</v>
      </c>
    </row>
    <row r="1209" spans="8:8">
      <c r="H1209">
        <v>0</v>
      </c>
    </row>
    <row r="1210" spans="8:8">
      <c r="H1210">
        <v>0</v>
      </c>
    </row>
    <row r="1211" spans="8:8">
      <c r="H1211">
        <v>0</v>
      </c>
    </row>
    <row r="1212" spans="8:8">
      <c r="H1212">
        <v>0</v>
      </c>
    </row>
    <row r="1213" spans="8:8">
      <c r="H1213">
        <v>0</v>
      </c>
    </row>
    <row r="1214" spans="8:8">
      <c r="H1214">
        <v>0</v>
      </c>
    </row>
    <row r="1215" spans="8:8">
      <c r="H1215">
        <v>0</v>
      </c>
    </row>
    <row r="1216" spans="8:8">
      <c r="H1216">
        <v>0</v>
      </c>
    </row>
    <row r="1217" spans="8:8">
      <c r="H1217">
        <v>0</v>
      </c>
    </row>
    <row r="1218" spans="8:8">
      <c r="H1218">
        <v>0</v>
      </c>
    </row>
    <row r="1219" spans="8:8">
      <c r="H1219">
        <v>0</v>
      </c>
    </row>
    <row r="1220" spans="8:8">
      <c r="H1220">
        <v>0</v>
      </c>
    </row>
    <row r="1221" spans="8:8">
      <c r="H1221">
        <v>0</v>
      </c>
    </row>
    <row r="1222" spans="8:8">
      <c r="H1222">
        <v>0</v>
      </c>
    </row>
    <row r="1223" spans="8:8">
      <c r="H1223">
        <v>0</v>
      </c>
    </row>
    <row r="1224" spans="8:8">
      <c r="H1224">
        <v>0</v>
      </c>
    </row>
    <row r="1225" spans="8:8">
      <c r="H1225">
        <v>0</v>
      </c>
    </row>
    <row r="1226" spans="8:8">
      <c r="H1226">
        <v>0</v>
      </c>
    </row>
    <row r="1227" spans="8:8">
      <c r="H1227">
        <v>0</v>
      </c>
    </row>
    <row r="1228" spans="8:8">
      <c r="H1228">
        <v>0</v>
      </c>
    </row>
    <row r="1229" spans="8:8">
      <c r="H1229">
        <v>0</v>
      </c>
    </row>
    <row r="1230" spans="8:8">
      <c r="H1230">
        <v>0</v>
      </c>
    </row>
    <row r="1231" spans="8:8">
      <c r="H1231">
        <v>0</v>
      </c>
    </row>
    <row r="1232" spans="8:8">
      <c r="H1232">
        <v>0</v>
      </c>
    </row>
    <row r="1233" spans="8:8">
      <c r="H1233">
        <v>0</v>
      </c>
    </row>
    <row r="1234" spans="8:8">
      <c r="H1234">
        <v>0</v>
      </c>
    </row>
    <row r="1235" spans="8:8">
      <c r="H1235">
        <v>0</v>
      </c>
    </row>
    <row r="1236" spans="8:8">
      <c r="H1236">
        <v>0</v>
      </c>
    </row>
    <row r="1237" spans="8:8">
      <c r="H1237">
        <v>0</v>
      </c>
    </row>
    <row r="1238" spans="8:8">
      <c r="H1238">
        <v>0</v>
      </c>
    </row>
    <row r="1239" spans="8:8">
      <c r="H1239">
        <v>0</v>
      </c>
    </row>
    <row r="1240" spans="8:8">
      <c r="H1240">
        <v>0</v>
      </c>
    </row>
    <row r="1241" spans="8:8">
      <c r="H1241">
        <v>0</v>
      </c>
    </row>
    <row r="1242" spans="8:8">
      <c r="H1242">
        <v>0</v>
      </c>
    </row>
    <row r="1243" spans="8:8">
      <c r="H1243">
        <v>0</v>
      </c>
    </row>
    <row r="1244" spans="8:8">
      <c r="H1244">
        <v>0</v>
      </c>
    </row>
    <row r="1245" spans="8:8">
      <c r="H1245">
        <v>0</v>
      </c>
    </row>
    <row r="1246" spans="8:8">
      <c r="H1246">
        <v>0</v>
      </c>
    </row>
    <row r="1247" spans="8:8">
      <c r="H1247">
        <v>0</v>
      </c>
    </row>
    <row r="1248" spans="8:8">
      <c r="H1248">
        <v>0</v>
      </c>
    </row>
    <row r="1249" spans="8:8">
      <c r="H1249">
        <v>0</v>
      </c>
    </row>
    <row r="1250" spans="8:8">
      <c r="H1250">
        <v>0</v>
      </c>
    </row>
    <row r="1251" spans="8:8">
      <c r="H1251">
        <v>0</v>
      </c>
    </row>
    <row r="1252" spans="8:8">
      <c r="H1252">
        <v>0</v>
      </c>
    </row>
    <row r="1253" spans="8:8">
      <c r="H1253">
        <v>0</v>
      </c>
    </row>
    <row r="1254" spans="8:8">
      <c r="H1254">
        <v>0</v>
      </c>
    </row>
    <row r="1255" spans="8:8">
      <c r="H1255">
        <v>0</v>
      </c>
    </row>
    <row r="1256" spans="8:8">
      <c r="H1256">
        <v>0</v>
      </c>
    </row>
    <row r="1257" spans="8:8">
      <c r="H1257">
        <v>0</v>
      </c>
    </row>
    <row r="1258" spans="8:8">
      <c r="H1258">
        <v>0</v>
      </c>
    </row>
    <row r="1259" spans="8:8">
      <c r="H1259">
        <v>0</v>
      </c>
    </row>
    <row r="1260" spans="8:8">
      <c r="H1260">
        <v>0</v>
      </c>
    </row>
    <row r="1261" spans="8:8">
      <c r="H1261">
        <v>0</v>
      </c>
    </row>
    <row r="1262" spans="8:8">
      <c r="H1262">
        <v>0</v>
      </c>
    </row>
    <row r="1263" spans="8:8">
      <c r="H1263">
        <v>0</v>
      </c>
    </row>
    <row r="1264" spans="8:8">
      <c r="H1264">
        <v>0</v>
      </c>
    </row>
    <row r="1265" spans="8:8">
      <c r="H1265">
        <v>0</v>
      </c>
    </row>
    <row r="1266" spans="8:8">
      <c r="H1266">
        <v>0</v>
      </c>
    </row>
    <row r="1267" spans="8:8">
      <c r="H1267">
        <v>0</v>
      </c>
    </row>
    <row r="1268" spans="8:8">
      <c r="H1268">
        <v>0</v>
      </c>
    </row>
    <row r="1269" spans="8:8">
      <c r="H1269">
        <v>0</v>
      </c>
    </row>
    <row r="1270" spans="8:8">
      <c r="H1270">
        <v>0</v>
      </c>
    </row>
    <row r="1271" spans="8:8">
      <c r="H1271">
        <v>0</v>
      </c>
    </row>
    <row r="1272" spans="8:8">
      <c r="H1272">
        <v>0</v>
      </c>
    </row>
    <row r="1273" spans="8:8">
      <c r="H1273">
        <v>0</v>
      </c>
    </row>
    <row r="1274" spans="8:8">
      <c r="H1274">
        <v>0</v>
      </c>
    </row>
    <row r="1275" spans="8:8">
      <c r="H1275">
        <v>0</v>
      </c>
    </row>
    <row r="1276" spans="8:8">
      <c r="H1276">
        <v>0</v>
      </c>
    </row>
    <row r="1277" spans="8:8">
      <c r="H1277">
        <v>0</v>
      </c>
    </row>
    <row r="1278" spans="8:8">
      <c r="H1278">
        <v>0</v>
      </c>
    </row>
    <row r="1279" spans="8:8">
      <c r="H1279">
        <v>0</v>
      </c>
    </row>
    <row r="1280" spans="8:8">
      <c r="H1280">
        <v>0</v>
      </c>
    </row>
    <row r="1281" spans="8:8">
      <c r="H1281">
        <v>0</v>
      </c>
    </row>
    <row r="1282" spans="8:8">
      <c r="H1282">
        <v>0</v>
      </c>
    </row>
    <row r="1283" spans="8:8">
      <c r="H1283">
        <v>0</v>
      </c>
    </row>
    <row r="1284" spans="8:8">
      <c r="H1284">
        <v>0</v>
      </c>
    </row>
    <row r="1285" spans="8:8">
      <c r="H1285">
        <v>0</v>
      </c>
    </row>
    <row r="1286" spans="8:8">
      <c r="H1286">
        <v>0</v>
      </c>
    </row>
    <row r="1287" spans="8:8">
      <c r="H1287">
        <v>0</v>
      </c>
    </row>
    <row r="1288" spans="8:8">
      <c r="H1288">
        <v>0</v>
      </c>
    </row>
    <row r="1289" spans="8:8">
      <c r="H1289">
        <v>0</v>
      </c>
    </row>
    <row r="1290" spans="8:8">
      <c r="H1290">
        <v>0</v>
      </c>
    </row>
    <row r="1291" spans="8:8">
      <c r="H1291">
        <v>0</v>
      </c>
    </row>
    <row r="1292" spans="8:8">
      <c r="H1292">
        <v>0</v>
      </c>
    </row>
    <row r="1293" spans="8:8">
      <c r="H1293">
        <v>0</v>
      </c>
    </row>
    <row r="1294" spans="8:8">
      <c r="H1294">
        <v>0</v>
      </c>
    </row>
    <row r="1295" spans="8:8">
      <c r="H1295">
        <v>0</v>
      </c>
    </row>
    <row r="1296" spans="8:8">
      <c r="H1296">
        <v>0</v>
      </c>
    </row>
    <row r="1297" spans="8:8">
      <c r="H1297">
        <v>0</v>
      </c>
    </row>
    <row r="1298" spans="8:8">
      <c r="H1298">
        <v>0</v>
      </c>
    </row>
    <row r="1299" spans="8:8">
      <c r="H1299">
        <v>0</v>
      </c>
    </row>
    <row r="1300" spans="8:8">
      <c r="H1300">
        <v>0</v>
      </c>
    </row>
    <row r="1301" spans="8:8">
      <c r="H1301">
        <v>0</v>
      </c>
    </row>
    <row r="1302" spans="8:8">
      <c r="H1302">
        <v>0</v>
      </c>
    </row>
    <row r="1303" spans="8:8">
      <c r="H1303">
        <v>0</v>
      </c>
    </row>
    <row r="1304" spans="8:8">
      <c r="H1304">
        <v>0</v>
      </c>
    </row>
    <row r="1305" spans="8:8">
      <c r="H1305">
        <v>0</v>
      </c>
    </row>
    <row r="1306" spans="8:8">
      <c r="H1306">
        <v>0</v>
      </c>
    </row>
    <row r="1307" spans="8:8">
      <c r="H1307">
        <v>0</v>
      </c>
    </row>
    <row r="1308" spans="8:8">
      <c r="H1308">
        <v>0</v>
      </c>
    </row>
    <row r="1309" spans="8:8">
      <c r="H1309">
        <v>0</v>
      </c>
    </row>
    <row r="1310" spans="8:8">
      <c r="H1310">
        <v>0</v>
      </c>
    </row>
    <row r="1311" spans="8:8">
      <c r="H1311">
        <v>0</v>
      </c>
    </row>
    <row r="1312" spans="8:8">
      <c r="H1312">
        <v>0</v>
      </c>
    </row>
    <row r="1313" spans="8:8">
      <c r="H1313">
        <v>0</v>
      </c>
    </row>
    <row r="1314" spans="8:8">
      <c r="H1314">
        <v>0</v>
      </c>
    </row>
    <row r="1315" spans="8:8">
      <c r="H1315">
        <v>0</v>
      </c>
    </row>
    <row r="1316" spans="8:8">
      <c r="H1316">
        <v>0</v>
      </c>
    </row>
    <row r="1317" spans="8:8">
      <c r="H1317">
        <v>0</v>
      </c>
    </row>
    <row r="1318" spans="8:8">
      <c r="H1318">
        <v>0</v>
      </c>
    </row>
    <row r="1319" spans="8:8">
      <c r="H1319">
        <v>0</v>
      </c>
    </row>
    <row r="1320" spans="8:8">
      <c r="H1320">
        <v>0</v>
      </c>
    </row>
    <row r="1321" spans="8:8">
      <c r="H1321">
        <v>0</v>
      </c>
    </row>
    <row r="1322" spans="8:8">
      <c r="H1322">
        <v>0</v>
      </c>
    </row>
    <row r="1323" spans="8:8">
      <c r="H1323">
        <v>0</v>
      </c>
    </row>
    <row r="1324" spans="8:8">
      <c r="H1324">
        <v>0</v>
      </c>
    </row>
    <row r="1325" spans="8:8">
      <c r="H1325">
        <v>0</v>
      </c>
    </row>
    <row r="1326" spans="8:8">
      <c r="H1326">
        <v>0</v>
      </c>
    </row>
    <row r="1327" spans="8:8">
      <c r="H1327">
        <v>0</v>
      </c>
    </row>
    <row r="1328" spans="8:8">
      <c r="H1328">
        <v>0</v>
      </c>
    </row>
    <row r="1329" spans="8:8">
      <c r="H1329">
        <v>0</v>
      </c>
    </row>
    <row r="1330" spans="8:8">
      <c r="H1330">
        <v>0</v>
      </c>
    </row>
    <row r="1331" spans="8:8">
      <c r="H1331">
        <v>0</v>
      </c>
    </row>
    <row r="1332" spans="8:8">
      <c r="H1332">
        <v>0</v>
      </c>
    </row>
    <row r="1333" spans="8:8">
      <c r="H1333">
        <v>0</v>
      </c>
    </row>
    <row r="1334" spans="8:8">
      <c r="H1334">
        <v>0</v>
      </c>
    </row>
    <row r="1335" spans="8:8">
      <c r="H1335">
        <v>0</v>
      </c>
    </row>
    <row r="1336" spans="8:8">
      <c r="H1336">
        <v>0</v>
      </c>
    </row>
    <row r="1337" spans="8:8">
      <c r="H1337">
        <v>0</v>
      </c>
    </row>
    <row r="1338" spans="8:8">
      <c r="H1338">
        <v>0</v>
      </c>
    </row>
    <row r="1339" spans="8:8">
      <c r="H1339">
        <v>0</v>
      </c>
    </row>
    <row r="1340" spans="8:8">
      <c r="H1340">
        <v>0</v>
      </c>
    </row>
    <row r="1341" spans="8:8">
      <c r="H1341">
        <v>0</v>
      </c>
    </row>
    <row r="1342" spans="8:8">
      <c r="H1342">
        <v>0</v>
      </c>
    </row>
    <row r="1343" spans="8:8">
      <c r="H1343">
        <v>0</v>
      </c>
    </row>
    <row r="1344" spans="8:8">
      <c r="H1344">
        <v>0</v>
      </c>
    </row>
    <row r="1345" spans="8:8">
      <c r="H1345">
        <v>0</v>
      </c>
    </row>
    <row r="1346" spans="8:8">
      <c r="H1346">
        <v>0</v>
      </c>
    </row>
    <row r="1347" spans="8:8">
      <c r="H1347">
        <v>0</v>
      </c>
    </row>
    <row r="1348" spans="8:8">
      <c r="H1348">
        <v>0</v>
      </c>
    </row>
    <row r="1349" spans="8:8">
      <c r="H1349">
        <v>0</v>
      </c>
    </row>
    <row r="1350" spans="8:8">
      <c r="H1350">
        <v>0</v>
      </c>
    </row>
    <row r="1351" spans="8:8">
      <c r="H1351">
        <v>0</v>
      </c>
    </row>
    <row r="1352" spans="8:8">
      <c r="H1352">
        <v>0</v>
      </c>
    </row>
    <row r="1353" spans="8:8">
      <c r="H1353">
        <v>0</v>
      </c>
    </row>
    <row r="1354" spans="8:8">
      <c r="H1354">
        <v>0</v>
      </c>
    </row>
    <row r="1355" spans="8:8">
      <c r="H1355">
        <v>0</v>
      </c>
    </row>
    <row r="1356" spans="8:8">
      <c r="H1356">
        <v>0</v>
      </c>
    </row>
    <row r="1357" spans="8:8">
      <c r="H1357">
        <v>0</v>
      </c>
    </row>
    <row r="1358" spans="8:8">
      <c r="H1358">
        <v>0</v>
      </c>
    </row>
    <row r="1359" spans="8:8">
      <c r="H1359">
        <v>0</v>
      </c>
    </row>
    <row r="1360" spans="8:8">
      <c r="H1360">
        <v>0</v>
      </c>
    </row>
    <row r="1361" spans="8:8">
      <c r="H1361">
        <v>0</v>
      </c>
    </row>
    <row r="1362" spans="8:8">
      <c r="H1362">
        <v>0</v>
      </c>
    </row>
    <row r="1363" spans="8:8">
      <c r="H1363">
        <v>0</v>
      </c>
    </row>
    <row r="1364" spans="8:8">
      <c r="H1364">
        <v>0</v>
      </c>
    </row>
    <row r="1365" spans="8:8">
      <c r="H1365">
        <v>0</v>
      </c>
    </row>
    <row r="1366" spans="8:8">
      <c r="H1366">
        <v>0</v>
      </c>
    </row>
    <row r="1367" spans="8:8">
      <c r="H1367">
        <v>0</v>
      </c>
    </row>
    <row r="1368" spans="8:8">
      <c r="H1368">
        <v>0</v>
      </c>
    </row>
    <row r="1369" spans="8:8">
      <c r="H1369">
        <v>0</v>
      </c>
    </row>
    <row r="1370" spans="8:8">
      <c r="H1370">
        <v>0</v>
      </c>
    </row>
    <row r="1371" spans="8:8">
      <c r="H1371">
        <v>0</v>
      </c>
    </row>
    <row r="1372" spans="8:8">
      <c r="H1372">
        <v>0</v>
      </c>
    </row>
    <row r="1373" spans="8:8">
      <c r="H1373">
        <v>0</v>
      </c>
    </row>
    <row r="1374" spans="8:8">
      <c r="H1374">
        <v>0</v>
      </c>
    </row>
    <row r="1375" spans="8:8">
      <c r="H1375">
        <v>0</v>
      </c>
    </row>
    <row r="1376" spans="8:8">
      <c r="H1376">
        <v>0</v>
      </c>
    </row>
    <row r="1377" spans="8:8">
      <c r="H1377">
        <v>0</v>
      </c>
    </row>
    <row r="1378" spans="8:8">
      <c r="H1378">
        <v>0</v>
      </c>
    </row>
    <row r="1379" spans="8:8">
      <c r="H1379">
        <v>0</v>
      </c>
    </row>
    <row r="1380" spans="8:8">
      <c r="H1380">
        <v>0</v>
      </c>
    </row>
    <row r="1381" spans="8:8">
      <c r="H1381">
        <v>0</v>
      </c>
    </row>
    <row r="1382" spans="8:8">
      <c r="H1382">
        <v>0</v>
      </c>
    </row>
    <row r="1383" spans="8:8">
      <c r="H1383">
        <v>0</v>
      </c>
    </row>
    <row r="1384" spans="8:8">
      <c r="H1384">
        <v>0</v>
      </c>
    </row>
    <row r="1385" spans="8:8">
      <c r="H1385">
        <v>0</v>
      </c>
    </row>
    <row r="1386" spans="8:8">
      <c r="H1386">
        <v>0</v>
      </c>
    </row>
    <row r="1387" spans="8:8">
      <c r="H1387">
        <v>0</v>
      </c>
    </row>
    <row r="1388" spans="8:8">
      <c r="H1388">
        <v>0</v>
      </c>
    </row>
    <row r="1389" spans="8:8">
      <c r="H1389">
        <v>0</v>
      </c>
    </row>
    <row r="1390" spans="8:8">
      <c r="H1390">
        <v>0</v>
      </c>
    </row>
    <row r="1391" spans="8:8">
      <c r="H1391">
        <v>0</v>
      </c>
    </row>
    <row r="1392" spans="8:8">
      <c r="H1392">
        <v>0</v>
      </c>
    </row>
    <row r="1393" spans="8:8">
      <c r="H1393">
        <v>0</v>
      </c>
    </row>
    <row r="1394" spans="8:8">
      <c r="H1394">
        <v>0</v>
      </c>
    </row>
    <row r="1395" spans="8:8">
      <c r="H1395">
        <v>0</v>
      </c>
    </row>
    <row r="1396" spans="8:8">
      <c r="H1396">
        <v>0</v>
      </c>
    </row>
    <row r="1397" spans="8:8">
      <c r="H1397">
        <v>0</v>
      </c>
    </row>
    <row r="1398" spans="8:8">
      <c r="H1398">
        <v>0</v>
      </c>
    </row>
    <row r="1399" spans="8:8">
      <c r="H1399">
        <v>0</v>
      </c>
    </row>
    <row r="1400" spans="8:8">
      <c r="H1400">
        <v>0</v>
      </c>
    </row>
    <row r="1401" spans="8:8">
      <c r="H1401">
        <v>0</v>
      </c>
    </row>
    <row r="1402" spans="8:8">
      <c r="H1402">
        <v>0</v>
      </c>
    </row>
    <row r="1403" spans="8:8">
      <c r="H1403">
        <v>0</v>
      </c>
    </row>
    <row r="1404" spans="8:8">
      <c r="H1404">
        <v>0</v>
      </c>
    </row>
    <row r="1405" spans="8:8">
      <c r="H1405">
        <v>0</v>
      </c>
    </row>
    <row r="1406" spans="8:8">
      <c r="H1406">
        <v>0</v>
      </c>
    </row>
    <row r="1407" spans="8:8">
      <c r="H1407">
        <v>0</v>
      </c>
    </row>
    <row r="1408" spans="8:8">
      <c r="H1408">
        <v>0</v>
      </c>
    </row>
    <row r="1409" spans="8:8">
      <c r="H1409">
        <v>0</v>
      </c>
    </row>
    <row r="1410" spans="8:8">
      <c r="H1410">
        <v>0</v>
      </c>
    </row>
    <row r="1411" spans="8:8">
      <c r="H1411">
        <v>0</v>
      </c>
    </row>
    <row r="1412" spans="8:8">
      <c r="H1412">
        <v>0</v>
      </c>
    </row>
    <row r="1413" spans="8:8">
      <c r="H1413">
        <v>0</v>
      </c>
    </row>
    <row r="1414" spans="8:8">
      <c r="H1414">
        <v>0</v>
      </c>
    </row>
    <row r="1415" spans="8:8">
      <c r="H1415">
        <v>0</v>
      </c>
    </row>
    <row r="1416" spans="8:8">
      <c r="H1416">
        <v>0</v>
      </c>
    </row>
    <row r="1417" spans="8:8">
      <c r="H1417">
        <v>0</v>
      </c>
    </row>
    <row r="1418" spans="8:8">
      <c r="H1418">
        <v>0</v>
      </c>
    </row>
    <row r="1419" spans="8:8">
      <c r="H1419">
        <v>0</v>
      </c>
    </row>
    <row r="1420" spans="8:8">
      <c r="H1420">
        <v>0</v>
      </c>
    </row>
    <row r="1421" spans="8:8">
      <c r="H1421">
        <v>0</v>
      </c>
    </row>
    <row r="1422" spans="8:8">
      <c r="H1422">
        <v>0</v>
      </c>
    </row>
    <row r="1423" spans="8:8">
      <c r="H1423">
        <v>0</v>
      </c>
    </row>
    <row r="1424" spans="8:8">
      <c r="H1424">
        <v>0</v>
      </c>
    </row>
    <row r="1425" spans="8:8">
      <c r="H1425">
        <v>0</v>
      </c>
    </row>
    <row r="1426" spans="8:8">
      <c r="H1426">
        <v>0</v>
      </c>
    </row>
    <row r="1427" spans="8:8">
      <c r="H1427">
        <v>0</v>
      </c>
    </row>
    <row r="1428" spans="8:8">
      <c r="H1428">
        <v>0</v>
      </c>
    </row>
    <row r="1429" spans="8:8">
      <c r="H1429">
        <v>0</v>
      </c>
    </row>
    <row r="1430" spans="8:8">
      <c r="H1430">
        <v>0</v>
      </c>
    </row>
    <row r="1431" spans="8:8">
      <c r="H1431">
        <v>0</v>
      </c>
    </row>
    <row r="1432" spans="8:8">
      <c r="H1432">
        <v>0</v>
      </c>
    </row>
    <row r="1433" spans="8:8">
      <c r="H1433">
        <v>0</v>
      </c>
    </row>
    <row r="1434" spans="8:8">
      <c r="H1434">
        <v>0</v>
      </c>
    </row>
    <row r="1435" spans="8:8">
      <c r="H1435">
        <v>0</v>
      </c>
    </row>
    <row r="1436" spans="8:8">
      <c r="H1436">
        <v>0</v>
      </c>
    </row>
    <row r="1437" spans="8:8">
      <c r="H1437">
        <v>0</v>
      </c>
    </row>
    <row r="1438" spans="8:8">
      <c r="H1438">
        <v>0</v>
      </c>
    </row>
    <row r="1439" spans="8:8">
      <c r="H1439">
        <v>0</v>
      </c>
    </row>
    <row r="1440" spans="8:8">
      <c r="H1440">
        <v>0</v>
      </c>
    </row>
    <row r="1441" spans="8:8">
      <c r="H1441">
        <v>0</v>
      </c>
    </row>
    <row r="1442" spans="8:8">
      <c r="H1442">
        <v>0</v>
      </c>
    </row>
    <row r="1443" spans="8:8">
      <c r="H1443">
        <v>0</v>
      </c>
    </row>
    <row r="1444" spans="8:8">
      <c r="H1444">
        <v>0</v>
      </c>
    </row>
    <row r="1445" spans="8:8">
      <c r="H1445">
        <v>0</v>
      </c>
    </row>
    <row r="1446" spans="8:8">
      <c r="H1446">
        <v>0</v>
      </c>
    </row>
    <row r="1447" spans="8:8">
      <c r="H1447">
        <v>0</v>
      </c>
    </row>
    <row r="1448" spans="8:8">
      <c r="H1448">
        <v>0</v>
      </c>
    </row>
    <row r="1449" spans="8:8">
      <c r="H1449">
        <v>0</v>
      </c>
    </row>
    <row r="1450" spans="8:8">
      <c r="H1450">
        <v>0</v>
      </c>
    </row>
    <row r="1451" spans="8:8">
      <c r="H1451">
        <v>0</v>
      </c>
    </row>
    <row r="1452" spans="8:8">
      <c r="H1452">
        <v>0</v>
      </c>
    </row>
    <row r="1453" spans="8:8">
      <c r="H1453">
        <v>0</v>
      </c>
    </row>
    <row r="1454" spans="8:8">
      <c r="H1454">
        <v>0</v>
      </c>
    </row>
    <row r="1455" spans="8:8">
      <c r="H1455">
        <v>0</v>
      </c>
    </row>
    <row r="1456" spans="8:8">
      <c r="H1456">
        <v>0</v>
      </c>
    </row>
    <row r="1457" spans="8:8">
      <c r="H1457">
        <v>0</v>
      </c>
    </row>
    <row r="1458" spans="8:8">
      <c r="H1458">
        <v>0</v>
      </c>
    </row>
    <row r="1459" spans="8:8">
      <c r="H1459">
        <v>0</v>
      </c>
    </row>
    <row r="1460" spans="8:8">
      <c r="H1460">
        <v>0</v>
      </c>
    </row>
    <row r="1461" spans="8:8">
      <c r="H1461">
        <v>0</v>
      </c>
    </row>
    <row r="1462" spans="8:8">
      <c r="H1462">
        <v>0</v>
      </c>
    </row>
    <row r="1463" spans="8:8">
      <c r="H1463">
        <v>0</v>
      </c>
    </row>
    <row r="1464" spans="8:8">
      <c r="H1464">
        <v>0</v>
      </c>
    </row>
    <row r="1465" spans="8:8">
      <c r="H1465">
        <v>0</v>
      </c>
    </row>
    <row r="1466" spans="8:8">
      <c r="H1466">
        <v>0</v>
      </c>
    </row>
    <row r="1467" spans="8:8">
      <c r="H1467">
        <v>0</v>
      </c>
    </row>
    <row r="1468" spans="8:8">
      <c r="H1468">
        <v>0</v>
      </c>
    </row>
    <row r="1469" spans="8:8">
      <c r="H1469">
        <v>0</v>
      </c>
    </row>
    <row r="1470" spans="8:8">
      <c r="H1470">
        <v>0</v>
      </c>
    </row>
    <row r="1471" spans="8:8">
      <c r="H1471">
        <v>0</v>
      </c>
    </row>
    <row r="1472" spans="8:8">
      <c r="H1472">
        <v>0</v>
      </c>
    </row>
    <row r="1473" spans="8:8">
      <c r="H1473">
        <v>0</v>
      </c>
    </row>
    <row r="1474" spans="8:8">
      <c r="H1474">
        <v>0</v>
      </c>
    </row>
    <row r="1475" spans="8:8">
      <c r="H1475">
        <v>0</v>
      </c>
    </row>
    <row r="1476" spans="8:8">
      <c r="H1476">
        <v>0</v>
      </c>
    </row>
    <row r="1477" spans="8:8">
      <c r="H1477">
        <v>0</v>
      </c>
    </row>
    <row r="1478" spans="8:8">
      <c r="H1478">
        <v>0</v>
      </c>
    </row>
    <row r="1479" spans="8:8">
      <c r="H1479">
        <v>0</v>
      </c>
    </row>
    <row r="1480" spans="8:8">
      <c r="H1480">
        <v>0</v>
      </c>
    </row>
    <row r="1481" spans="8:8">
      <c r="H1481">
        <v>0</v>
      </c>
    </row>
    <row r="1482" spans="8:8">
      <c r="H1482">
        <v>0</v>
      </c>
    </row>
    <row r="1483" spans="8:8">
      <c r="H1483">
        <v>0</v>
      </c>
    </row>
    <row r="1484" spans="8:8">
      <c r="H1484">
        <v>0</v>
      </c>
    </row>
    <row r="1485" spans="8:8">
      <c r="H1485">
        <v>0</v>
      </c>
    </row>
    <row r="1486" spans="8:8">
      <c r="H1486">
        <v>0</v>
      </c>
    </row>
    <row r="1487" spans="8:8">
      <c r="H1487">
        <v>0</v>
      </c>
    </row>
    <row r="1488" spans="8:8">
      <c r="H1488">
        <v>0</v>
      </c>
    </row>
    <row r="1489" spans="8:8">
      <c r="H1489">
        <v>0</v>
      </c>
    </row>
    <row r="1490" spans="8:8">
      <c r="H1490">
        <v>0</v>
      </c>
    </row>
    <row r="1491" spans="8:8">
      <c r="H1491">
        <v>0</v>
      </c>
    </row>
    <row r="1492" spans="8:8">
      <c r="H1492">
        <v>0</v>
      </c>
    </row>
    <row r="1493" spans="8:8">
      <c r="H1493">
        <v>0</v>
      </c>
    </row>
    <row r="1494" spans="8:8">
      <c r="H1494">
        <v>0</v>
      </c>
    </row>
    <row r="1495" spans="8:8">
      <c r="H1495">
        <v>0</v>
      </c>
    </row>
    <row r="1496" spans="8:8">
      <c r="H1496">
        <v>0</v>
      </c>
    </row>
    <row r="1497" spans="8:8">
      <c r="H1497">
        <v>0</v>
      </c>
    </row>
    <row r="1498" spans="8:8">
      <c r="H1498">
        <v>0</v>
      </c>
    </row>
    <row r="1499" spans="8:8">
      <c r="H1499">
        <v>0</v>
      </c>
    </row>
    <row r="1500" spans="8:8">
      <c r="H1500">
        <v>0</v>
      </c>
    </row>
    <row r="1501" spans="8:8">
      <c r="H1501">
        <v>0</v>
      </c>
    </row>
    <row r="1502" spans="8:8">
      <c r="H1502">
        <v>0</v>
      </c>
    </row>
    <row r="1503" spans="8:8">
      <c r="H1503">
        <v>0</v>
      </c>
    </row>
    <row r="1504" spans="8:8">
      <c r="H1504">
        <v>0</v>
      </c>
    </row>
    <row r="1505" spans="8:8">
      <c r="H1505">
        <v>0</v>
      </c>
    </row>
    <row r="1506" spans="8:8">
      <c r="H1506">
        <v>0</v>
      </c>
    </row>
    <row r="1507" spans="8:8">
      <c r="H1507">
        <v>0</v>
      </c>
    </row>
    <row r="1508" spans="8:8">
      <c r="H1508">
        <v>0</v>
      </c>
    </row>
    <row r="1509" spans="8:8">
      <c r="H1509">
        <v>0</v>
      </c>
    </row>
    <row r="1510" spans="8:8">
      <c r="H1510">
        <v>0</v>
      </c>
    </row>
    <row r="1511" spans="8:8">
      <c r="H1511">
        <v>0</v>
      </c>
    </row>
    <row r="1512" spans="8:8">
      <c r="H1512">
        <v>0</v>
      </c>
    </row>
    <row r="1513" spans="8:8">
      <c r="H1513">
        <v>0</v>
      </c>
    </row>
    <row r="1514" spans="8:8">
      <c r="H1514">
        <v>0</v>
      </c>
    </row>
    <row r="1515" spans="8:8">
      <c r="H1515">
        <v>0</v>
      </c>
    </row>
    <row r="1516" spans="8:8">
      <c r="H1516">
        <v>0</v>
      </c>
    </row>
    <row r="1517" spans="8:8">
      <c r="H1517">
        <v>0</v>
      </c>
    </row>
    <row r="1518" spans="8:8">
      <c r="H1518">
        <v>0</v>
      </c>
    </row>
    <row r="1519" spans="8:8">
      <c r="H1519">
        <v>0</v>
      </c>
    </row>
    <row r="1520" spans="8:8">
      <c r="H1520">
        <v>0</v>
      </c>
    </row>
    <row r="1521" spans="8:8">
      <c r="H1521">
        <v>0</v>
      </c>
    </row>
    <row r="1522" spans="8:8">
      <c r="H1522">
        <v>0</v>
      </c>
    </row>
    <row r="1523" spans="8:8">
      <c r="H1523">
        <v>0</v>
      </c>
    </row>
    <row r="1524" spans="8:8">
      <c r="H1524">
        <v>0</v>
      </c>
    </row>
    <row r="1525" spans="8:8">
      <c r="H1525">
        <v>0</v>
      </c>
    </row>
    <row r="1526" spans="8:8">
      <c r="H1526">
        <v>0</v>
      </c>
    </row>
    <row r="1527" spans="8:8">
      <c r="H1527">
        <v>0</v>
      </c>
    </row>
    <row r="1528" spans="8:8">
      <c r="H1528">
        <v>0</v>
      </c>
    </row>
    <row r="1529" spans="8:8">
      <c r="H1529">
        <v>0</v>
      </c>
    </row>
    <row r="1530" spans="8:8">
      <c r="H1530">
        <v>0</v>
      </c>
    </row>
    <row r="1531" spans="8:8">
      <c r="H1531">
        <v>0</v>
      </c>
    </row>
    <row r="1532" spans="8:8">
      <c r="H1532">
        <v>0</v>
      </c>
    </row>
    <row r="1533" spans="8:8">
      <c r="H1533">
        <v>0</v>
      </c>
    </row>
    <row r="1534" spans="8:8">
      <c r="H1534">
        <v>0</v>
      </c>
    </row>
    <row r="1535" spans="8:8">
      <c r="H1535">
        <v>0</v>
      </c>
    </row>
    <row r="1536" spans="8:8">
      <c r="H1536">
        <v>0</v>
      </c>
    </row>
    <row r="1537" spans="8:8">
      <c r="H1537">
        <v>0</v>
      </c>
    </row>
    <row r="1538" spans="8:8">
      <c r="H1538">
        <v>0</v>
      </c>
    </row>
    <row r="1539" spans="8:8">
      <c r="H1539">
        <v>0</v>
      </c>
    </row>
    <row r="1540" spans="8:8">
      <c r="H1540">
        <v>0</v>
      </c>
    </row>
    <row r="1541" spans="8:8">
      <c r="H1541">
        <v>0</v>
      </c>
    </row>
    <row r="1542" spans="8:8">
      <c r="H1542">
        <v>0</v>
      </c>
    </row>
    <row r="1543" spans="8:8">
      <c r="H1543">
        <v>0</v>
      </c>
    </row>
    <row r="1544" spans="8:8">
      <c r="H1544">
        <v>0</v>
      </c>
    </row>
    <row r="1545" spans="8:8">
      <c r="H1545">
        <v>0</v>
      </c>
    </row>
    <row r="1546" spans="8:8">
      <c r="H1546">
        <v>0</v>
      </c>
    </row>
    <row r="1547" spans="8:8">
      <c r="H1547">
        <v>0</v>
      </c>
    </row>
    <row r="1548" spans="8:8">
      <c r="H1548">
        <v>0</v>
      </c>
    </row>
    <row r="1549" spans="8:8">
      <c r="H1549">
        <v>0</v>
      </c>
    </row>
    <row r="1550" spans="8:8">
      <c r="H1550">
        <v>0</v>
      </c>
    </row>
    <row r="1551" spans="8:8">
      <c r="H1551">
        <v>0</v>
      </c>
    </row>
    <row r="1552" spans="8:8">
      <c r="H1552">
        <v>0</v>
      </c>
    </row>
    <row r="1553" spans="8:8">
      <c r="H1553">
        <v>0</v>
      </c>
    </row>
    <row r="1554" spans="8:8">
      <c r="H1554">
        <v>0</v>
      </c>
    </row>
    <row r="1555" spans="8:8">
      <c r="H1555">
        <v>0</v>
      </c>
    </row>
    <row r="1556" spans="8:8">
      <c r="H1556">
        <v>0</v>
      </c>
    </row>
    <row r="1557" spans="8:8">
      <c r="H1557">
        <v>0</v>
      </c>
    </row>
    <row r="1558" spans="8:8">
      <c r="H1558">
        <v>0</v>
      </c>
    </row>
    <row r="1559" spans="8:8">
      <c r="H1559">
        <v>0</v>
      </c>
    </row>
    <row r="1560" spans="8:8">
      <c r="H1560">
        <v>0</v>
      </c>
    </row>
    <row r="1561" spans="8:8">
      <c r="H1561">
        <v>0</v>
      </c>
    </row>
    <row r="1562" spans="8:8">
      <c r="H1562">
        <v>0</v>
      </c>
    </row>
    <row r="1563" spans="8:8">
      <c r="H1563">
        <v>0</v>
      </c>
    </row>
    <row r="1564" spans="8:8">
      <c r="H1564">
        <v>0</v>
      </c>
    </row>
    <row r="1565" spans="8:8">
      <c r="H1565">
        <v>0</v>
      </c>
    </row>
    <row r="1566" spans="8:8">
      <c r="H1566">
        <v>0</v>
      </c>
    </row>
    <row r="1567" spans="8:8">
      <c r="H1567">
        <v>0</v>
      </c>
    </row>
    <row r="1568" spans="8:8">
      <c r="H1568">
        <v>0</v>
      </c>
    </row>
    <row r="1569" spans="8:8">
      <c r="H1569">
        <v>0</v>
      </c>
    </row>
    <row r="1570" spans="8:8">
      <c r="H1570">
        <v>0</v>
      </c>
    </row>
    <row r="1571" spans="8:8">
      <c r="H1571">
        <v>0</v>
      </c>
    </row>
    <row r="1572" spans="8:8">
      <c r="H1572">
        <v>0</v>
      </c>
    </row>
    <row r="1573" spans="8:8">
      <c r="H1573">
        <v>0</v>
      </c>
    </row>
    <row r="1574" spans="8:8">
      <c r="H1574">
        <v>0</v>
      </c>
    </row>
    <row r="1575" spans="8:8">
      <c r="H1575">
        <v>0</v>
      </c>
    </row>
    <row r="1576" spans="8:8">
      <c r="H1576">
        <v>0</v>
      </c>
    </row>
    <row r="1577" spans="8:8">
      <c r="H1577">
        <v>0</v>
      </c>
    </row>
    <row r="1578" spans="8:8">
      <c r="H1578">
        <v>0</v>
      </c>
    </row>
    <row r="1579" spans="8:8">
      <c r="H1579">
        <v>0</v>
      </c>
    </row>
    <row r="1580" spans="8:8">
      <c r="H1580">
        <v>0</v>
      </c>
    </row>
    <row r="1581" spans="8:8">
      <c r="H1581">
        <v>0</v>
      </c>
    </row>
    <row r="1582" spans="8:8">
      <c r="H1582">
        <v>0</v>
      </c>
    </row>
    <row r="1583" spans="8:8">
      <c r="H1583">
        <v>0</v>
      </c>
    </row>
    <row r="1584" spans="8:8">
      <c r="H1584">
        <v>0</v>
      </c>
    </row>
    <row r="1585" spans="8:8">
      <c r="H1585">
        <v>0</v>
      </c>
    </row>
    <row r="1586" spans="8:8">
      <c r="H1586">
        <v>0</v>
      </c>
    </row>
    <row r="1587" spans="8:8">
      <c r="H1587">
        <v>0</v>
      </c>
    </row>
    <row r="1588" spans="8:8">
      <c r="H1588">
        <v>0</v>
      </c>
    </row>
    <row r="1589" spans="8:8">
      <c r="H1589">
        <v>0</v>
      </c>
    </row>
    <row r="1590" spans="8:8">
      <c r="H1590">
        <v>0</v>
      </c>
    </row>
    <row r="1591" spans="8:8">
      <c r="H1591">
        <v>0</v>
      </c>
    </row>
    <row r="1592" spans="8:8">
      <c r="H1592">
        <v>0</v>
      </c>
    </row>
    <row r="1593" spans="8:8">
      <c r="H1593">
        <v>0</v>
      </c>
    </row>
    <row r="1594" spans="8:8">
      <c r="H1594">
        <v>0</v>
      </c>
    </row>
    <row r="1595" spans="8:8">
      <c r="H1595">
        <v>0</v>
      </c>
    </row>
    <row r="1596" spans="8:8">
      <c r="H1596">
        <v>0</v>
      </c>
    </row>
    <row r="1597" spans="8:8">
      <c r="H1597">
        <v>0</v>
      </c>
    </row>
    <row r="1598" spans="8:8">
      <c r="H1598">
        <v>0</v>
      </c>
    </row>
    <row r="1599" spans="8:8">
      <c r="H1599">
        <v>0</v>
      </c>
    </row>
    <row r="1600" spans="8:8">
      <c r="H1600">
        <v>0</v>
      </c>
    </row>
    <row r="1601" spans="8:8">
      <c r="H1601">
        <v>0</v>
      </c>
    </row>
    <row r="1602" spans="8:8">
      <c r="H1602">
        <v>0</v>
      </c>
    </row>
    <row r="1603" spans="8:8">
      <c r="H1603">
        <v>0</v>
      </c>
    </row>
    <row r="1604" spans="8:8">
      <c r="H1604">
        <v>0</v>
      </c>
    </row>
    <row r="1605" spans="8:8">
      <c r="H1605">
        <v>0</v>
      </c>
    </row>
    <row r="1606" spans="8:8">
      <c r="H1606">
        <v>0</v>
      </c>
    </row>
    <row r="1607" spans="8:8">
      <c r="H1607">
        <v>0</v>
      </c>
    </row>
    <row r="1608" spans="8:8">
      <c r="H1608">
        <v>0</v>
      </c>
    </row>
    <row r="1609" spans="8:8">
      <c r="H1609">
        <v>0</v>
      </c>
    </row>
    <row r="1610" spans="8:8">
      <c r="H1610">
        <v>0</v>
      </c>
    </row>
    <row r="1611" spans="8:8">
      <c r="H1611">
        <v>0</v>
      </c>
    </row>
    <row r="1612" spans="8:8">
      <c r="H1612">
        <v>0</v>
      </c>
    </row>
    <row r="1613" spans="8:8">
      <c r="H1613">
        <v>0</v>
      </c>
    </row>
    <row r="1614" spans="8:8">
      <c r="H1614">
        <v>0</v>
      </c>
    </row>
    <row r="1615" spans="8:8">
      <c r="H1615">
        <v>0</v>
      </c>
    </row>
    <row r="1616" spans="8:8">
      <c r="H1616">
        <v>0</v>
      </c>
    </row>
    <row r="1617" spans="8:8">
      <c r="H1617">
        <v>0</v>
      </c>
    </row>
    <row r="1618" spans="8:8">
      <c r="H1618">
        <v>0</v>
      </c>
    </row>
    <row r="1619" spans="8:8">
      <c r="H1619">
        <v>0</v>
      </c>
    </row>
    <row r="1620" spans="8:8">
      <c r="H1620">
        <v>0</v>
      </c>
    </row>
    <row r="1621" spans="8:8">
      <c r="H1621">
        <v>0</v>
      </c>
    </row>
    <row r="1622" spans="8:8">
      <c r="H1622">
        <v>0</v>
      </c>
    </row>
    <row r="1623" spans="8:8">
      <c r="H1623">
        <v>0</v>
      </c>
    </row>
    <row r="1624" spans="8:8">
      <c r="H1624">
        <v>0</v>
      </c>
    </row>
    <row r="1625" spans="8:8">
      <c r="H1625">
        <v>0</v>
      </c>
    </row>
    <row r="1626" spans="8:8">
      <c r="H1626">
        <v>0</v>
      </c>
    </row>
    <row r="1627" spans="8:8">
      <c r="H1627">
        <v>0</v>
      </c>
    </row>
    <row r="1628" spans="8:8">
      <c r="H1628">
        <v>0</v>
      </c>
    </row>
    <row r="1629" spans="8:8">
      <c r="H1629">
        <v>0</v>
      </c>
    </row>
    <row r="1630" spans="8:8">
      <c r="H1630">
        <v>0</v>
      </c>
    </row>
    <row r="1631" spans="8:8">
      <c r="H1631">
        <v>0</v>
      </c>
    </row>
    <row r="1632" spans="8:8">
      <c r="H1632">
        <v>0</v>
      </c>
    </row>
    <row r="1633" spans="8:8">
      <c r="H1633">
        <v>0</v>
      </c>
    </row>
    <row r="1634" spans="8:8">
      <c r="H1634">
        <v>0</v>
      </c>
    </row>
    <row r="1635" spans="8:8">
      <c r="H1635">
        <v>0</v>
      </c>
    </row>
    <row r="1636" spans="8:8">
      <c r="H1636">
        <v>0</v>
      </c>
    </row>
    <row r="1637" spans="8:8">
      <c r="H1637">
        <v>0</v>
      </c>
    </row>
    <row r="1638" spans="8:8">
      <c r="H1638">
        <v>0</v>
      </c>
    </row>
    <row r="1639" spans="8:8">
      <c r="H1639">
        <v>0</v>
      </c>
    </row>
    <row r="1640" spans="8:8">
      <c r="H1640">
        <v>0</v>
      </c>
    </row>
    <row r="1641" spans="8:8">
      <c r="H1641">
        <v>0</v>
      </c>
    </row>
    <row r="1642" spans="8:8">
      <c r="H1642">
        <v>0</v>
      </c>
    </row>
    <row r="1643" spans="8:8">
      <c r="H1643">
        <v>0</v>
      </c>
    </row>
    <row r="1644" spans="8:8">
      <c r="H1644">
        <v>0</v>
      </c>
    </row>
    <row r="1645" spans="8:8">
      <c r="H1645">
        <v>0</v>
      </c>
    </row>
    <row r="1646" spans="8:8">
      <c r="H1646">
        <v>0</v>
      </c>
    </row>
    <row r="1647" spans="8:8">
      <c r="H1647">
        <v>0</v>
      </c>
    </row>
    <row r="1648" spans="8:8">
      <c r="H1648">
        <v>0</v>
      </c>
    </row>
    <row r="1649" spans="8:8">
      <c r="H1649">
        <v>0</v>
      </c>
    </row>
    <row r="1650" spans="8:8">
      <c r="H1650">
        <v>0</v>
      </c>
    </row>
    <row r="1651" spans="8:8">
      <c r="H1651">
        <v>0</v>
      </c>
    </row>
    <row r="1652" spans="8:8">
      <c r="H1652">
        <v>0</v>
      </c>
    </row>
    <row r="1653" spans="8:8">
      <c r="H1653">
        <v>0</v>
      </c>
    </row>
    <row r="1654" spans="8:8">
      <c r="H1654">
        <v>0</v>
      </c>
    </row>
    <row r="1655" spans="8:8">
      <c r="H1655">
        <v>0</v>
      </c>
    </row>
    <row r="1656" spans="8:8">
      <c r="H1656">
        <v>0</v>
      </c>
    </row>
    <row r="1657" spans="8:8">
      <c r="H1657">
        <v>0</v>
      </c>
    </row>
    <row r="1658" spans="8:8">
      <c r="H1658">
        <v>0</v>
      </c>
    </row>
    <row r="1659" spans="8:8">
      <c r="H1659">
        <v>0</v>
      </c>
    </row>
    <row r="1660" spans="8:8">
      <c r="H1660">
        <v>0</v>
      </c>
    </row>
    <row r="1661" spans="8:8">
      <c r="H1661">
        <v>0</v>
      </c>
    </row>
    <row r="1662" spans="8:8">
      <c r="H1662">
        <v>0</v>
      </c>
    </row>
    <row r="1663" spans="8:8">
      <c r="H1663">
        <v>0</v>
      </c>
    </row>
    <row r="1664" spans="8:8">
      <c r="H1664">
        <v>0</v>
      </c>
    </row>
    <row r="1665" spans="8:8">
      <c r="H1665">
        <v>0</v>
      </c>
    </row>
    <row r="1666" spans="8:8">
      <c r="H1666">
        <v>0</v>
      </c>
    </row>
    <row r="1667" spans="8:8">
      <c r="H1667">
        <v>0</v>
      </c>
    </row>
    <row r="1668" spans="8:8">
      <c r="H1668">
        <v>0</v>
      </c>
    </row>
    <row r="1669" spans="8:8">
      <c r="H1669">
        <v>0</v>
      </c>
    </row>
    <row r="1670" spans="8:8">
      <c r="H1670">
        <v>0</v>
      </c>
    </row>
    <row r="1671" spans="8:8">
      <c r="H1671">
        <v>0</v>
      </c>
    </row>
    <row r="1672" spans="8:8">
      <c r="H1672">
        <v>0</v>
      </c>
    </row>
    <row r="1673" spans="8:8">
      <c r="H1673">
        <v>0</v>
      </c>
    </row>
    <row r="1674" spans="8:8">
      <c r="H1674">
        <v>0</v>
      </c>
    </row>
    <row r="1675" spans="8:8">
      <c r="H1675">
        <v>0</v>
      </c>
    </row>
    <row r="1676" spans="8:8">
      <c r="H1676">
        <v>0</v>
      </c>
    </row>
    <row r="1677" spans="8:8">
      <c r="H1677">
        <v>0</v>
      </c>
    </row>
    <row r="1678" spans="8:8">
      <c r="H1678">
        <v>0</v>
      </c>
    </row>
    <row r="1679" spans="8:8">
      <c r="H1679">
        <v>0</v>
      </c>
    </row>
    <row r="1680" spans="8:8">
      <c r="H1680">
        <v>0</v>
      </c>
    </row>
    <row r="1681" spans="8:8">
      <c r="H1681">
        <v>0</v>
      </c>
    </row>
    <row r="1682" spans="8:8">
      <c r="H1682">
        <v>0</v>
      </c>
    </row>
    <row r="1683" spans="8:8">
      <c r="H1683">
        <v>0</v>
      </c>
    </row>
    <row r="1684" spans="8:8">
      <c r="H1684">
        <v>0</v>
      </c>
    </row>
    <row r="1685" spans="8:8">
      <c r="H1685">
        <v>0</v>
      </c>
    </row>
    <row r="1686" spans="8:8">
      <c r="H1686">
        <v>0</v>
      </c>
    </row>
    <row r="1687" spans="8:8">
      <c r="H1687">
        <v>0</v>
      </c>
    </row>
    <row r="1688" spans="8:8">
      <c r="H1688">
        <v>0</v>
      </c>
    </row>
    <row r="1689" spans="8:8">
      <c r="H1689">
        <v>0</v>
      </c>
    </row>
    <row r="1690" spans="8:8">
      <c r="H1690">
        <v>0</v>
      </c>
    </row>
    <row r="1691" spans="8:8">
      <c r="H1691">
        <v>0</v>
      </c>
    </row>
    <row r="1692" spans="8:8">
      <c r="H1692">
        <v>0</v>
      </c>
    </row>
    <row r="1693" spans="8:8">
      <c r="H1693">
        <v>0</v>
      </c>
    </row>
    <row r="1694" spans="8:8">
      <c r="H1694">
        <v>0</v>
      </c>
    </row>
    <row r="1695" spans="8:8">
      <c r="H1695">
        <v>0</v>
      </c>
    </row>
    <row r="1696" spans="8:8">
      <c r="H1696">
        <v>0</v>
      </c>
    </row>
    <row r="1697" spans="8:8">
      <c r="H1697">
        <v>0</v>
      </c>
    </row>
    <row r="1698" spans="8:8">
      <c r="H1698">
        <v>0</v>
      </c>
    </row>
    <row r="1699" spans="8:8">
      <c r="H1699">
        <v>0</v>
      </c>
    </row>
    <row r="1700" spans="8:8">
      <c r="H1700">
        <v>0</v>
      </c>
    </row>
    <row r="1701" spans="8:8">
      <c r="H1701">
        <v>0</v>
      </c>
    </row>
    <row r="1702" spans="8:8">
      <c r="H1702">
        <v>0</v>
      </c>
    </row>
    <row r="1703" spans="8:8">
      <c r="H1703">
        <v>0</v>
      </c>
    </row>
    <row r="1704" spans="8:8">
      <c r="H1704">
        <v>0</v>
      </c>
    </row>
    <row r="1705" spans="8:8">
      <c r="H1705">
        <v>0</v>
      </c>
    </row>
    <row r="1706" spans="8:8">
      <c r="H1706">
        <v>0</v>
      </c>
    </row>
    <row r="1707" spans="8:8">
      <c r="H1707">
        <v>0</v>
      </c>
    </row>
    <row r="1708" spans="8:8">
      <c r="H1708">
        <v>0</v>
      </c>
    </row>
    <row r="1709" spans="8:8">
      <c r="H1709">
        <v>0</v>
      </c>
    </row>
    <row r="1710" spans="8:8">
      <c r="H1710">
        <v>0</v>
      </c>
    </row>
    <row r="1711" spans="8:8">
      <c r="H1711">
        <v>0</v>
      </c>
    </row>
    <row r="1712" spans="8:8">
      <c r="H1712">
        <v>0</v>
      </c>
    </row>
    <row r="1713" spans="8:8">
      <c r="H1713">
        <v>0</v>
      </c>
    </row>
    <row r="1714" spans="8:8">
      <c r="H1714">
        <v>0</v>
      </c>
    </row>
    <row r="1715" spans="8:8">
      <c r="H1715">
        <v>0</v>
      </c>
    </row>
    <row r="1716" spans="8:8">
      <c r="H1716">
        <v>0</v>
      </c>
    </row>
    <row r="1717" spans="8:8">
      <c r="H1717">
        <v>0</v>
      </c>
    </row>
    <row r="1718" spans="8:8">
      <c r="H1718">
        <v>0</v>
      </c>
    </row>
    <row r="1719" spans="8:8">
      <c r="H1719">
        <v>0</v>
      </c>
    </row>
    <row r="1720" spans="8:8">
      <c r="H1720">
        <v>0</v>
      </c>
    </row>
    <row r="1721" spans="8:8">
      <c r="H1721">
        <v>0</v>
      </c>
    </row>
    <row r="1722" spans="8:8">
      <c r="H1722">
        <v>0</v>
      </c>
    </row>
    <row r="1723" spans="8:8">
      <c r="H1723">
        <v>0</v>
      </c>
    </row>
    <row r="1724" spans="8:8">
      <c r="H1724">
        <v>0</v>
      </c>
    </row>
    <row r="1725" spans="8:8">
      <c r="H1725">
        <v>0</v>
      </c>
    </row>
    <row r="1726" spans="8:8">
      <c r="H1726">
        <v>0</v>
      </c>
    </row>
    <row r="1727" spans="8:8">
      <c r="H1727">
        <v>0</v>
      </c>
    </row>
    <row r="1728" spans="8:8">
      <c r="H1728">
        <v>0</v>
      </c>
    </row>
    <row r="1729" spans="8:8">
      <c r="H1729">
        <v>0</v>
      </c>
    </row>
    <row r="1730" spans="8:8">
      <c r="H1730">
        <v>0</v>
      </c>
    </row>
    <row r="1731" spans="8:8">
      <c r="H1731">
        <v>0</v>
      </c>
    </row>
    <row r="1732" spans="8:8">
      <c r="H1732">
        <v>0</v>
      </c>
    </row>
    <row r="1733" spans="8:8">
      <c r="H1733">
        <v>0</v>
      </c>
    </row>
    <row r="1734" spans="8:8">
      <c r="H1734">
        <v>0</v>
      </c>
    </row>
    <row r="1735" spans="8:8">
      <c r="H1735">
        <v>0</v>
      </c>
    </row>
    <row r="1736" spans="8:8">
      <c r="H1736">
        <v>0</v>
      </c>
    </row>
    <row r="1737" spans="8:8">
      <c r="H1737">
        <v>0</v>
      </c>
    </row>
    <row r="1738" spans="8:8">
      <c r="H1738">
        <v>0</v>
      </c>
    </row>
    <row r="1739" spans="8:8">
      <c r="H1739">
        <v>0</v>
      </c>
    </row>
    <row r="1740" spans="8:8">
      <c r="H1740">
        <v>0</v>
      </c>
    </row>
    <row r="1741" spans="8:8">
      <c r="H1741">
        <v>0</v>
      </c>
    </row>
    <row r="1742" spans="8:8">
      <c r="H1742">
        <v>0</v>
      </c>
    </row>
    <row r="1743" spans="8:8">
      <c r="H1743">
        <v>0</v>
      </c>
    </row>
    <row r="1744" spans="8:8">
      <c r="H1744">
        <v>0</v>
      </c>
    </row>
    <row r="1745" spans="8:8">
      <c r="H1745">
        <v>0</v>
      </c>
    </row>
    <row r="1746" spans="8:8">
      <c r="H1746">
        <v>0</v>
      </c>
    </row>
    <row r="1747" spans="8:8">
      <c r="H1747">
        <v>0</v>
      </c>
    </row>
    <row r="1748" spans="8:8">
      <c r="H1748">
        <v>0</v>
      </c>
    </row>
    <row r="1749" spans="8:8">
      <c r="H1749">
        <v>0</v>
      </c>
    </row>
    <row r="1750" spans="8:8">
      <c r="H1750">
        <v>0</v>
      </c>
    </row>
    <row r="1751" spans="8:8">
      <c r="H1751">
        <v>0</v>
      </c>
    </row>
    <row r="1752" spans="8:8">
      <c r="H1752">
        <v>0</v>
      </c>
    </row>
    <row r="1753" spans="8:8">
      <c r="H1753">
        <v>0</v>
      </c>
    </row>
    <row r="1754" spans="8:8">
      <c r="H1754">
        <v>0</v>
      </c>
    </row>
    <row r="1755" spans="8:8">
      <c r="H1755">
        <v>0</v>
      </c>
    </row>
    <row r="1756" spans="8:8">
      <c r="H1756">
        <v>0</v>
      </c>
    </row>
    <row r="1757" spans="8:8">
      <c r="H1757">
        <v>0</v>
      </c>
    </row>
    <row r="1758" spans="8:8">
      <c r="H1758">
        <v>0</v>
      </c>
    </row>
    <row r="1759" spans="8:8">
      <c r="H1759">
        <v>0</v>
      </c>
    </row>
    <row r="1760" spans="8:8">
      <c r="H1760">
        <v>0</v>
      </c>
    </row>
    <row r="1761" spans="8:8">
      <c r="H1761">
        <v>0</v>
      </c>
    </row>
    <row r="1762" spans="8:8">
      <c r="H1762">
        <v>0</v>
      </c>
    </row>
    <row r="1763" spans="8:8">
      <c r="H1763">
        <v>0</v>
      </c>
    </row>
    <row r="1764" spans="8:8">
      <c r="H1764">
        <v>0</v>
      </c>
    </row>
    <row r="1765" spans="8:8">
      <c r="H1765">
        <v>0</v>
      </c>
    </row>
    <row r="1766" spans="8:8">
      <c r="H1766">
        <v>0</v>
      </c>
    </row>
    <row r="1767" spans="8:8">
      <c r="H1767">
        <v>0</v>
      </c>
    </row>
    <row r="1768" spans="8:8">
      <c r="H1768">
        <v>0</v>
      </c>
    </row>
    <row r="1769" spans="8:8">
      <c r="H1769">
        <v>0</v>
      </c>
    </row>
    <row r="1770" spans="8:8">
      <c r="H1770">
        <v>0</v>
      </c>
    </row>
    <row r="1771" spans="8:8">
      <c r="H1771">
        <v>0</v>
      </c>
    </row>
    <row r="1772" spans="8:8">
      <c r="H1772">
        <v>0</v>
      </c>
    </row>
    <row r="1773" spans="8:8">
      <c r="H1773">
        <v>0</v>
      </c>
    </row>
    <row r="1774" spans="8:8">
      <c r="H1774">
        <v>0</v>
      </c>
    </row>
    <row r="1775" spans="8:8">
      <c r="H1775">
        <v>0</v>
      </c>
    </row>
    <row r="1776" spans="8:8">
      <c r="H1776">
        <v>0</v>
      </c>
    </row>
    <row r="1777" spans="8:8">
      <c r="H1777">
        <v>0</v>
      </c>
    </row>
    <row r="1778" spans="8:8">
      <c r="H1778">
        <v>0</v>
      </c>
    </row>
    <row r="1779" spans="8:8">
      <c r="H1779">
        <v>0</v>
      </c>
    </row>
    <row r="1780" spans="8:8">
      <c r="H1780">
        <v>0</v>
      </c>
    </row>
    <row r="1781" spans="8:8">
      <c r="H1781">
        <v>0</v>
      </c>
    </row>
    <row r="1782" spans="8:8">
      <c r="H1782">
        <v>0</v>
      </c>
    </row>
    <row r="1783" spans="8:8">
      <c r="H1783">
        <v>0</v>
      </c>
    </row>
    <row r="1784" spans="8:8">
      <c r="H1784">
        <v>0</v>
      </c>
    </row>
    <row r="1785" spans="8:8">
      <c r="H1785">
        <v>0</v>
      </c>
    </row>
    <row r="1786" spans="8:8">
      <c r="H1786">
        <v>0</v>
      </c>
    </row>
    <row r="1787" spans="8:8">
      <c r="H1787">
        <v>0</v>
      </c>
    </row>
    <row r="1788" spans="8:8">
      <c r="H1788">
        <v>0</v>
      </c>
    </row>
    <row r="1789" spans="8:8">
      <c r="H1789">
        <v>0</v>
      </c>
    </row>
    <row r="1790" spans="8:8">
      <c r="H1790">
        <v>0</v>
      </c>
    </row>
    <row r="1791" spans="8:8">
      <c r="H1791">
        <v>0</v>
      </c>
    </row>
    <row r="1792" spans="8:8">
      <c r="H1792">
        <v>0</v>
      </c>
    </row>
    <row r="1793" spans="8:8">
      <c r="H1793">
        <v>0</v>
      </c>
    </row>
    <row r="1794" spans="8:8">
      <c r="H1794">
        <v>0</v>
      </c>
    </row>
    <row r="1795" spans="8:8">
      <c r="H1795">
        <v>0</v>
      </c>
    </row>
    <row r="1796" spans="8:8">
      <c r="H1796">
        <v>0</v>
      </c>
    </row>
    <row r="1797" spans="8:8">
      <c r="H1797">
        <v>0</v>
      </c>
    </row>
    <row r="1798" spans="8:8">
      <c r="H1798">
        <v>0</v>
      </c>
    </row>
    <row r="1799" spans="8:8">
      <c r="H1799">
        <v>0</v>
      </c>
    </row>
    <row r="1800" spans="8:8">
      <c r="H1800">
        <v>0</v>
      </c>
    </row>
    <row r="1801" spans="8:8">
      <c r="H1801">
        <v>0</v>
      </c>
    </row>
    <row r="1802" spans="8:8">
      <c r="H1802">
        <v>0</v>
      </c>
    </row>
    <row r="1803" spans="8:8">
      <c r="H1803">
        <v>0</v>
      </c>
    </row>
    <row r="1804" spans="8:8">
      <c r="H1804">
        <v>0</v>
      </c>
    </row>
    <row r="1805" spans="8:8">
      <c r="H1805">
        <v>0</v>
      </c>
    </row>
    <row r="1806" spans="8:8">
      <c r="H1806">
        <v>0</v>
      </c>
    </row>
    <row r="1807" spans="8:8">
      <c r="H1807">
        <v>0</v>
      </c>
    </row>
    <row r="1808" spans="8:8">
      <c r="H1808">
        <v>0</v>
      </c>
    </row>
    <row r="1809" spans="8:8">
      <c r="H1809">
        <v>0</v>
      </c>
    </row>
    <row r="1810" spans="8:8">
      <c r="H1810">
        <v>0</v>
      </c>
    </row>
    <row r="1811" spans="8:8">
      <c r="H1811">
        <v>0</v>
      </c>
    </row>
    <row r="1812" spans="8:8">
      <c r="H1812">
        <v>0</v>
      </c>
    </row>
    <row r="1813" spans="8:8">
      <c r="H1813">
        <v>0</v>
      </c>
    </row>
    <row r="1814" spans="8:8">
      <c r="H1814">
        <v>0</v>
      </c>
    </row>
    <row r="1815" spans="8:8">
      <c r="H1815">
        <v>0</v>
      </c>
    </row>
    <row r="1816" spans="8:8">
      <c r="H1816">
        <v>0</v>
      </c>
    </row>
    <row r="1817" spans="8:8">
      <c r="H1817">
        <v>0</v>
      </c>
    </row>
    <row r="1818" spans="8:8">
      <c r="H1818">
        <v>0</v>
      </c>
    </row>
    <row r="1819" spans="8:8">
      <c r="H1819">
        <v>0</v>
      </c>
    </row>
    <row r="1820" spans="8:8">
      <c r="H1820">
        <v>0</v>
      </c>
    </row>
    <row r="1821" spans="8:8">
      <c r="H1821">
        <v>0</v>
      </c>
    </row>
    <row r="1822" spans="8:8">
      <c r="H1822">
        <v>0</v>
      </c>
    </row>
    <row r="1823" spans="8:8">
      <c r="H1823">
        <v>0</v>
      </c>
    </row>
    <row r="1824" spans="8:8">
      <c r="H1824">
        <v>0</v>
      </c>
    </row>
    <row r="1825" spans="8:8">
      <c r="H1825">
        <v>0</v>
      </c>
    </row>
    <row r="1826" spans="8:8">
      <c r="H1826">
        <v>0</v>
      </c>
    </row>
    <row r="1827" spans="8:8">
      <c r="H1827">
        <v>0</v>
      </c>
    </row>
    <row r="1828" spans="8:8">
      <c r="H1828">
        <v>0</v>
      </c>
    </row>
    <row r="1829" spans="8:8">
      <c r="H1829">
        <v>0</v>
      </c>
    </row>
    <row r="1830" spans="8:8">
      <c r="H1830">
        <v>0</v>
      </c>
    </row>
    <row r="1831" spans="8:8">
      <c r="H1831">
        <v>0</v>
      </c>
    </row>
    <row r="1832" spans="8:8">
      <c r="H1832">
        <v>0</v>
      </c>
    </row>
    <row r="1833" spans="8:8">
      <c r="H1833">
        <v>0</v>
      </c>
    </row>
    <row r="1834" spans="8:8">
      <c r="H1834">
        <v>0</v>
      </c>
    </row>
    <row r="1835" spans="8:8">
      <c r="H1835">
        <v>0</v>
      </c>
    </row>
    <row r="1836" spans="8:8">
      <c r="H1836">
        <v>0</v>
      </c>
    </row>
    <row r="1837" spans="8:8">
      <c r="H1837">
        <v>0</v>
      </c>
    </row>
    <row r="1838" spans="8:8">
      <c r="H1838">
        <v>0</v>
      </c>
    </row>
    <row r="1839" spans="8:8">
      <c r="H1839">
        <v>0</v>
      </c>
    </row>
    <row r="1840" spans="8:8">
      <c r="H1840">
        <v>0</v>
      </c>
    </row>
    <row r="1841" spans="8:8">
      <c r="H1841">
        <v>0</v>
      </c>
    </row>
    <row r="1842" spans="8:8">
      <c r="H1842">
        <v>0</v>
      </c>
    </row>
    <row r="1843" spans="8:8">
      <c r="H1843">
        <v>0</v>
      </c>
    </row>
    <row r="1844" spans="8:8">
      <c r="H1844">
        <v>0</v>
      </c>
    </row>
    <row r="1845" spans="8:8">
      <c r="H1845">
        <v>0</v>
      </c>
    </row>
    <row r="1846" spans="8:8">
      <c r="H1846">
        <v>0</v>
      </c>
    </row>
    <row r="1847" spans="8:8">
      <c r="H1847">
        <v>0</v>
      </c>
    </row>
    <row r="1848" spans="8:8">
      <c r="H1848">
        <v>0</v>
      </c>
    </row>
    <row r="1849" spans="8:8">
      <c r="H1849">
        <v>0</v>
      </c>
    </row>
    <row r="1850" spans="8:8">
      <c r="H1850">
        <v>0</v>
      </c>
    </row>
    <row r="1851" spans="8:8">
      <c r="H1851">
        <v>0</v>
      </c>
    </row>
    <row r="1852" spans="8:8">
      <c r="H1852">
        <v>0</v>
      </c>
    </row>
    <row r="1853" spans="8:8">
      <c r="H1853">
        <v>0</v>
      </c>
    </row>
    <row r="1854" spans="8:8">
      <c r="H1854">
        <v>0</v>
      </c>
    </row>
    <row r="1855" spans="8:8">
      <c r="H1855">
        <v>0</v>
      </c>
    </row>
    <row r="1856" spans="8:8">
      <c r="H1856">
        <v>0</v>
      </c>
    </row>
    <row r="1857" spans="8:8">
      <c r="H1857">
        <v>0</v>
      </c>
    </row>
    <row r="1858" spans="8:8">
      <c r="H1858">
        <v>0</v>
      </c>
    </row>
    <row r="1859" spans="8:8">
      <c r="H1859">
        <v>0</v>
      </c>
    </row>
    <row r="1860" spans="8:8">
      <c r="H1860">
        <v>0</v>
      </c>
    </row>
    <row r="1861" spans="8:8">
      <c r="H1861">
        <v>0</v>
      </c>
    </row>
    <row r="1862" spans="8:8">
      <c r="H1862">
        <v>0</v>
      </c>
    </row>
    <row r="1863" spans="8:8">
      <c r="H1863">
        <v>0</v>
      </c>
    </row>
    <row r="1864" spans="8:8">
      <c r="H1864">
        <v>0</v>
      </c>
    </row>
    <row r="1865" spans="8:8">
      <c r="H1865">
        <v>0</v>
      </c>
    </row>
    <row r="1866" spans="8:8">
      <c r="H1866">
        <v>0</v>
      </c>
    </row>
    <row r="1867" spans="8:8">
      <c r="H1867">
        <v>0</v>
      </c>
    </row>
    <row r="1868" spans="8:8">
      <c r="H1868">
        <v>0</v>
      </c>
    </row>
    <row r="1869" spans="8:8">
      <c r="H1869">
        <v>0</v>
      </c>
    </row>
    <row r="1870" spans="8:8">
      <c r="H1870">
        <v>0</v>
      </c>
    </row>
    <row r="1871" spans="8:8">
      <c r="H1871">
        <v>0</v>
      </c>
    </row>
    <row r="1872" spans="8:8">
      <c r="H1872">
        <v>0</v>
      </c>
    </row>
    <row r="1873" spans="8:8">
      <c r="H1873">
        <v>0</v>
      </c>
    </row>
    <row r="1874" spans="8:8">
      <c r="H1874">
        <v>0</v>
      </c>
    </row>
    <row r="1875" spans="8:8">
      <c r="H1875">
        <v>0</v>
      </c>
    </row>
    <row r="1876" spans="8:8">
      <c r="H1876">
        <v>0</v>
      </c>
    </row>
    <row r="1877" spans="8:8">
      <c r="H1877">
        <v>0</v>
      </c>
    </row>
    <row r="1878" spans="8:8">
      <c r="H1878">
        <v>0</v>
      </c>
    </row>
    <row r="1879" spans="8:8">
      <c r="H1879">
        <v>0</v>
      </c>
    </row>
    <row r="1880" spans="8:8">
      <c r="H1880">
        <v>0</v>
      </c>
    </row>
    <row r="1881" spans="8:8">
      <c r="H1881">
        <v>0</v>
      </c>
    </row>
    <row r="1882" spans="8:8">
      <c r="H1882">
        <v>0</v>
      </c>
    </row>
    <row r="1883" spans="8:8">
      <c r="H1883">
        <v>0</v>
      </c>
    </row>
    <row r="1884" spans="8:8">
      <c r="H1884">
        <v>0</v>
      </c>
    </row>
    <row r="1885" spans="8:8">
      <c r="H1885">
        <v>0</v>
      </c>
    </row>
    <row r="1886" spans="8:8">
      <c r="H1886">
        <v>0</v>
      </c>
    </row>
    <row r="1887" spans="8:8">
      <c r="H1887">
        <v>0</v>
      </c>
    </row>
    <row r="1888" spans="8:8">
      <c r="H1888">
        <v>0</v>
      </c>
    </row>
    <row r="1889" spans="8:8">
      <c r="H1889">
        <v>0</v>
      </c>
    </row>
    <row r="1890" spans="8:8">
      <c r="H1890">
        <v>0</v>
      </c>
    </row>
    <row r="1891" spans="8:8">
      <c r="H1891">
        <v>0</v>
      </c>
    </row>
    <row r="1892" spans="8:8">
      <c r="H1892">
        <v>0</v>
      </c>
    </row>
    <row r="1893" spans="8:8">
      <c r="H1893">
        <v>0</v>
      </c>
    </row>
    <row r="1894" spans="8:8">
      <c r="H1894">
        <v>0</v>
      </c>
    </row>
    <row r="1895" spans="8:8">
      <c r="H1895">
        <v>0</v>
      </c>
    </row>
    <row r="1896" spans="8:8">
      <c r="H1896">
        <v>0</v>
      </c>
    </row>
    <row r="1897" spans="8:8">
      <c r="H1897">
        <v>0</v>
      </c>
    </row>
    <row r="1898" spans="8:8">
      <c r="H1898">
        <v>0</v>
      </c>
    </row>
    <row r="1899" spans="8:8">
      <c r="H1899">
        <v>0</v>
      </c>
    </row>
    <row r="1900" spans="8:8">
      <c r="H1900">
        <v>0</v>
      </c>
    </row>
    <row r="1901" spans="8:8">
      <c r="H1901">
        <v>0</v>
      </c>
    </row>
    <row r="1902" spans="8:8">
      <c r="H1902">
        <v>0</v>
      </c>
    </row>
    <row r="1903" spans="8:8">
      <c r="H1903">
        <v>0</v>
      </c>
    </row>
    <row r="1904" spans="8:8">
      <c r="H1904">
        <v>0</v>
      </c>
    </row>
    <row r="1905" spans="8:8">
      <c r="H1905">
        <v>0</v>
      </c>
    </row>
    <row r="1906" spans="8:8">
      <c r="H1906">
        <v>0</v>
      </c>
    </row>
    <row r="1907" spans="8:8">
      <c r="H1907">
        <v>0</v>
      </c>
    </row>
    <row r="1908" spans="8:8">
      <c r="H1908">
        <v>0</v>
      </c>
    </row>
    <row r="1909" spans="8:8">
      <c r="H1909">
        <v>0</v>
      </c>
    </row>
    <row r="1910" spans="8:8">
      <c r="H1910">
        <v>0</v>
      </c>
    </row>
    <row r="1911" spans="8:8">
      <c r="H1911">
        <v>0</v>
      </c>
    </row>
    <row r="1912" spans="8:8">
      <c r="H1912">
        <v>0</v>
      </c>
    </row>
    <row r="1913" spans="8:8">
      <c r="H1913">
        <v>0</v>
      </c>
    </row>
    <row r="1914" spans="8:8">
      <c r="H1914">
        <v>0</v>
      </c>
    </row>
    <row r="1915" spans="8:8">
      <c r="H1915">
        <v>0</v>
      </c>
    </row>
    <row r="1916" spans="8:8">
      <c r="H1916">
        <v>0</v>
      </c>
    </row>
    <row r="1917" spans="8:8">
      <c r="H1917">
        <v>0</v>
      </c>
    </row>
    <row r="1918" spans="8:8">
      <c r="H1918">
        <v>0</v>
      </c>
    </row>
    <row r="1919" spans="8:8">
      <c r="H1919">
        <v>0</v>
      </c>
    </row>
    <row r="1920" spans="8:8">
      <c r="H1920">
        <v>0</v>
      </c>
    </row>
    <row r="1921" spans="8:8">
      <c r="H1921">
        <v>0</v>
      </c>
    </row>
    <row r="1922" spans="8:8">
      <c r="H1922">
        <v>0</v>
      </c>
    </row>
    <row r="1923" spans="8:8">
      <c r="H1923">
        <v>0</v>
      </c>
    </row>
    <row r="1924" spans="8:8">
      <c r="H1924">
        <v>0</v>
      </c>
    </row>
    <row r="1925" spans="8:8">
      <c r="H1925">
        <v>0</v>
      </c>
    </row>
    <row r="1926" spans="8:8">
      <c r="H1926">
        <v>0</v>
      </c>
    </row>
    <row r="1927" spans="8:8">
      <c r="H1927">
        <v>0</v>
      </c>
    </row>
    <row r="1928" spans="8:8">
      <c r="H1928">
        <v>0</v>
      </c>
    </row>
    <row r="1929" spans="8:8">
      <c r="H1929">
        <v>0</v>
      </c>
    </row>
    <row r="1930" spans="8:8">
      <c r="H1930">
        <v>0</v>
      </c>
    </row>
    <row r="1931" spans="8:8">
      <c r="H1931">
        <v>0</v>
      </c>
    </row>
    <row r="1932" spans="8:8">
      <c r="H1932">
        <v>0</v>
      </c>
    </row>
    <row r="1933" spans="8:8">
      <c r="H1933">
        <v>0</v>
      </c>
    </row>
    <row r="1934" spans="8:8">
      <c r="H1934">
        <v>0</v>
      </c>
    </row>
    <row r="1935" spans="8:8">
      <c r="H1935">
        <v>0</v>
      </c>
    </row>
    <row r="1936" spans="8:8">
      <c r="H1936">
        <v>0</v>
      </c>
    </row>
    <row r="1937" spans="8:8">
      <c r="H1937">
        <v>0</v>
      </c>
    </row>
    <row r="1938" spans="8:8">
      <c r="H1938">
        <v>0</v>
      </c>
    </row>
    <row r="1939" spans="8:8">
      <c r="H1939">
        <v>0</v>
      </c>
    </row>
    <row r="1940" spans="8:8">
      <c r="H1940">
        <v>0</v>
      </c>
    </row>
    <row r="1941" spans="8:8">
      <c r="H1941">
        <v>0</v>
      </c>
    </row>
    <row r="1942" spans="8:8">
      <c r="H1942">
        <v>0</v>
      </c>
    </row>
    <row r="1943" spans="8:8">
      <c r="H1943">
        <v>0</v>
      </c>
    </row>
    <row r="1944" spans="8:8">
      <c r="H1944">
        <v>0</v>
      </c>
    </row>
    <row r="1945" spans="8:8">
      <c r="H1945">
        <v>0</v>
      </c>
    </row>
    <row r="1946" spans="8:8">
      <c r="H1946">
        <v>0</v>
      </c>
    </row>
    <row r="1947" spans="8:8">
      <c r="H1947">
        <v>0</v>
      </c>
    </row>
    <row r="1948" spans="8:8">
      <c r="H1948">
        <v>0</v>
      </c>
    </row>
    <row r="1949" spans="8:8">
      <c r="H1949">
        <v>0</v>
      </c>
    </row>
    <row r="1950" spans="8:8">
      <c r="H1950">
        <v>0</v>
      </c>
    </row>
    <row r="1951" spans="8:8">
      <c r="H1951">
        <v>0</v>
      </c>
    </row>
    <row r="1952" spans="8:8">
      <c r="H1952">
        <v>0</v>
      </c>
    </row>
    <row r="1953" spans="8:8">
      <c r="H1953">
        <v>0</v>
      </c>
    </row>
    <row r="1954" spans="8:8">
      <c r="H1954">
        <v>0</v>
      </c>
    </row>
    <row r="1955" spans="8:8">
      <c r="H1955">
        <v>0</v>
      </c>
    </row>
    <row r="1956" spans="8:8">
      <c r="H1956">
        <v>0</v>
      </c>
    </row>
    <row r="1957" spans="8:8">
      <c r="H1957">
        <v>0</v>
      </c>
    </row>
    <row r="1958" spans="8:8">
      <c r="H1958">
        <v>0</v>
      </c>
    </row>
    <row r="1959" spans="8:8">
      <c r="H1959">
        <v>0</v>
      </c>
    </row>
    <row r="1960" spans="8:8">
      <c r="H1960">
        <v>0</v>
      </c>
    </row>
    <row r="1961" spans="8:8">
      <c r="H1961">
        <v>0</v>
      </c>
    </row>
    <row r="1962" spans="8:8">
      <c r="H1962">
        <v>0</v>
      </c>
    </row>
    <row r="1963" spans="8:8">
      <c r="H1963">
        <v>0</v>
      </c>
    </row>
    <row r="1964" spans="8:8">
      <c r="H1964">
        <v>0</v>
      </c>
    </row>
    <row r="1965" spans="8:8">
      <c r="H1965">
        <v>0</v>
      </c>
    </row>
    <row r="1966" spans="8:8">
      <c r="H1966">
        <v>0</v>
      </c>
    </row>
    <row r="1967" spans="8:8">
      <c r="H1967">
        <v>0</v>
      </c>
    </row>
    <row r="1968" spans="8:8">
      <c r="H1968">
        <v>0</v>
      </c>
    </row>
    <row r="1969" spans="8:8">
      <c r="H1969">
        <v>0</v>
      </c>
    </row>
    <row r="1970" spans="8:8">
      <c r="H1970">
        <v>0</v>
      </c>
    </row>
    <row r="1971" spans="8:8">
      <c r="H1971">
        <v>0</v>
      </c>
    </row>
    <row r="1972" spans="8:8">
      <c r="H1972">
        <v>0</v>
      </c>
    </row>
    <row r="1973" spans="8:8">
      <c r="H1973">
        <v>0</v>
      </c>
    </row>
    <row r="1974" spans="8:8">
      <c r="H1974">
        <v>0</v>
      </c>
    </row>
    <row r="1975" spans="8:8">
      <c r="H1975">
        <v>0</v>
      </c>
    </row>
    <row r="1976" spans="8:8">
      <c r="H1976">
        <v>0</v>
      </c>
    </row>
    <row r="1977" spans="8:8">
      <c r="H1977">
        <v>0</v>
      </c>
    </row>
    <row r="1978" spans="8:8">
      <c r="H1978">
        <v>0</v>
      </c>
    </row>
    <row r="1979" spans="8:8">
      <c r="H1979">
        <v>0</v>
      </c>
    </row>
    <row r="1980" spans="8:8">
      <c r="H1980">
        <v>0</v>
      </c>
    </row>
    <row r="1981" spans="8:8">
      <c r="H1981">
        <v>0</v>
      </c>
    </row>
    <row r="1982" spans="8:8">
      <c r="H1982">
        <v>0</v>
      </c>
    </row>
    <row r="1983" spans="8:8">
      <c r="H1983">
        <v>0</v>
      </c>
    </row>
    <row r="1984" spans="8:8">
      <c r="H1984">
        <v>0</v>
      </c>
    </row>
    <row r="1985" spans="8:8">
      <c r="H1985">
        <v>0</v>
      </c>
    </row>
    <row r="1986" spans="8:8">
      <c r="H1986">
        <v>0</v>
      </c>
    </row>
    <row r="1987" spans="8:8">
      <c r="H1987">
        <v>0</v>
      </c>
    </row>
    <row r="1988" spans="8:8">
      <c r="H1988">
        <v>0</v>
      </c>
    </row>
    <row r="1989" spans="8:8">
      <c r="H1989">
        <v>0</v>
      </c>
    </row>
    <row r="1990" spans="8:8">
      <c r="H1990">
        <v>0</v>
      </c>
    </row>
    <row r="1991" spans="8:8">
      <c r="H1991">
        <v>0</v>
      </c>
    </row>
    <row r="1992" spans="8:8">
      <c r="H1992">
        <v>0</v>
      </c>
    </row>
    <row r="1993" spans="8:8">
      <c r="H1993">
        <v>0</v>
      </c>
    </row>
    <row r="1994" spans="8:8">
      <c r="H1994">
        <v>0</v>
      </c>
    </row>
    <row r="1995" spans="8:8">
      <c r="H1995">
        <v>0</v>
      </c>
    </row>
    <row r="1996" spans="8:8">
      <c r="H1996">
        <v>0</v>
      </c>
    </row>
    <row r="1997" spans="8:8">
      <c r="H1997">
        <v>0</v>
      </c>
    </row>
    <row r="1998" spans="8:8">
      <c r="H1998">
        <v>0</v>
      </c>
    </row>
    <row r="1999" spans="8:8">
      <c r="H1999">
        <v>0</v>
      </c>
    </row>
    <row r="2000" spans="8:8">
      <c r="H2000">
        <v>0</v>
      </c>
    </row>
  </sheetData>
  <phoneticPr fontId="35" type="noConversion"/>
  <dataValidations count="1">
    <dataValidation type="list" allowBlank="1" showInputMessage="1" showErrorMessage="1" sqref="G2:G23" xr:uid="{5A9888B8-E1CB-496F-A811-7A0705F60415}">
      <formula1>$R$1:$R$48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6c8584-d041-4084-aef3-fe78a71e733c" xsi:nil="true"/>
    <lcf76f155ced4ddcb4097134ff3c332f xmlns="cbbc6738-22b4-44af-bdf8-fc97da4b4a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1FC796D796BD4E9AE7592D82A3A6F5" ma:contentTypeVersion="17" ma:contentTypeDescription="Create a new document." ma:contentTypeScope="" ma:versionID="50f472104b7bf15731fecea8015dbf55">
  <xsd:schema xmlns:xsd="http://www.w3.org/2001/XMLSchema" xmlns:xs="http://www.w3.org/2001/XMLSchema" xmlns:p="http://schemas.microsoft.com/office/2006/metadata/properties" xmlns:ns2="cbbc6738-22b4-44af-bdf8-fc97da4b4af0" xmlns:ns3="e56c8584-d041-4084-aef3-fe78a71e733c" targetNamespace="http://schemas.microsoft.com/office/2006/metadata/properties" ma:root="true" ma:fieldsID="fa1d0b6961d93149e0b5bef7353dce6a" ns2:_="" ns3:_="">
    <xsd:import namespace="cbbc6738-22b4-44af-bdf8-fc97da4b4af0"/>
    <xsd:import namespace="e56c8584-d041-4084-aef3-fe78a71e73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bc6738-22b4-44af-bdf8-fc97da4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8010cb5-8865-4c13-838b-799b4f505ed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6c8584-d041-4084-aef3-fe78a71e73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7822e02-5fb9-4d9e-b9a4-1224e8139b93}" ma:internalName="TaxCatchAll" ma:showField="CatchAllData" ma:web="e56c8584-d041-4084-aef3-fe78a71e7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964224-9D5E-4697-955D-2FED6131ADD6}">
  <ds:schemaRefs>
    <ds:schemaRef ds:uri="http://schemas.microsoft.com/office/2006/metadata/properties"/>
    <ds:schemaRef ds:uri="http://schemas.microsoft.com/office/infopath/2007/PartnerControls"/>
    <ds:schemaRef ds:uri="e56c8584-d041-4084-aef3-fe78a71e733c"/>
    <ds:schemaRef ds:uri="cbbc6738-22b4-44af-bdf8-fc97da4b4af0"/>
  </ds:schemaRefs>
</ds:datastoreItem>
</file>

<file path=customXml/itemProps2.xml><?xml version="1.0" encoding="utf-8"?>
<ds:datastoreItem xmlns:ds="http://schemas.openxmlformats.org/officeDocument/2006/customXml" ds:itemID="{EF38FBF9-2117-444E-B8A2-D264E34E4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bc6738-22b4-44af-bdf8-fc97da4b4af0"/>
    <ds:schemaRef ds:uri="e56c8584-d041-4084-aef3-fe78a71e73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F81A2D-9EB7-4EF4-A265-1331D1A932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Show Jumping</vt:lpstr>
      <vt:lpstr>Show Horse</vt:lpstr>
      <vt:lpstr>Eventing</vt:lpstr>
      <vt:lpstr>CT</vt:lpstr>
      <vt:lpstr>Dressage</vt:lpstr>
      <vt:lpstr>State Championships</vt:lpstr>
      <vt:lpstr>How to use sheet</vt:lpstr>
      <vt:lpstr>Data Entry</vt:lpstr>
      <vt:lpstr>ClassIDRef</vt:lpstr>
      <vt:lpstr>ClassNm</vt:lpstr>
      <vt:lpstr>ClassNmRef</vt:lpstr>
      <vt:lpstr>CT!Print_Area</vt:lpstr>
      <vt:lpstr>Eventing!Print_Area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Craddock</dc:creator>
  <cp:keywords/>
  <dc:description/>
  <cp:lastModifiedBy>ESA Admin</cp:lastModifiedBy>
  <cp:revision/>
  <dcterms:created xsi:type="dcterms:W3CDTF">2024-02-28T05:16:34Z</dcterms:created>
  <dcterms:modified xsi:type="dcterms:W3CDTF">2025-05-28T00:10:34Z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55cfae-cb2a-4680-b088-01ee30167f3b_Enabled">
    <vt:lpwstr>true</vt:lpwstr>
  </property>
  <property fmtid="{D5CDD505-2E9C-101B-9397-08002B2CF9AE}" pid="3" name="MSIP_Label_6555cfae-cb2a-4680-b088-01ee30167f3b_SetDate">
    <vt:lpwstr>2024-03-26T23:24:53Z</vt:lpwstr>
  </property>
  <property fmtid="{D5CDD505-2E9C-101B-9397-08002B2CF9AE}" pid="4" name="MSIP_Label_6555cfae-cb2a-4680-b088-01ee30167f3b_Method">
    <vt:lpwstr>Standard</vt:lpwstr>
  </property>
  <property fmtid="{D5CDD505-2E9C-101B-9397-08002B2CF9AE}" pid="5" name="MSIP_Label_6555cfae-cb2a-4680-b088-01ee30167f3b_Name">
    <vt:lpwstr>General Business</vt:lpwstr>
  </property>
  <property fmtid="{D5CDD505-2E9C-101B-9397-08002B2CF9AE}" pid="6" name="MSIP_Label_6555cfae-cb2a-4680-b088-01ee30167f3b_SiteId">
    <vt:lpwstr>57c64fd4-66ca-49f5-ab38-2e67ef58e724</vt:lpwstr>
  </property>
  <property fmtid="{D5CDD505-2E9C-101B-9397-08002B2CF9AE}" pid="7" name="MSIP_Label_6555cfae-cb2a-4680-b088-01ee30167f3b_ActionId">
    <vt:lpwstr>97781012-ff18-4f5a-b02c-0d850fe84026</vt:lpwstr>
  </property>
  <property fmtid="{D5CDD505-2E9C-101B-9397-08002B2CF9AE}" pid="8" name="MSIP_Label_6555cfae-cb2a-4680-b088-01ee30167f3b_ContentBits">
    <vt:lpwstr>0</vt:lpwstr>
  </property>
  <property fmtid="{D5CDD505-2E9C-101B-9397-08002B2CF9AE}" pid="9" name="ContentTypeId">
    <vt:lpwstr>0x010100961FC796D796BD4E9AE7592D82A3A6F5</vt:lpwstr>
  </property>
  <property fmtid="{D5CDD505-2E9C-101B-9397-08002B2CF9AE}" pid="10" name="MediaServiceImageTags">
    <vt:lpwstr/>
  </property>
</Properties>
</file>